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fileSharing readOnlyRecommended="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eeigertms.sharepoint.com/sites/ERTMSSecurityCoreGroup/Gedeelde documenten/General/22 Security Guideline and ERORAT/Template/"/>
    </mc:Choice>
  </mc:AlternateContent>
  <xr:revisionPtr revIDLastSave="32" documentId="8_{55B4FC77-96AC-45EA-A98C-30555504E674}" xr6:coauthVersionLast="47" xr6:coauthVersionMax="47" xr10:uidLastSave="{A09F177E-DD92-48EA-9687-4D6B2A24C768}"/>
  <bookViews>
    <workbookView xWindow="38280" yWindow="5220" windowWidth="29040" windowHeight="15720" tabRatio="845" xr2:uid="{00000000-000D-0000-FFFF-FFFF00000000}"/>
  </bookViews>
  <sheets>
    <sheet name="Explanation" sheetId="1" r:id="rId1"/>
    <sheet name="Changelog" sheetId="2" r:id="rId2"/>
    <sheet name="Zone definition" sheetId="3" r:id="rId3"/>
    <sheet name="Threats_SL" sheetId="4" r:id="rId4"/>
    <sheet name="SL-T" sheetId="5" r:id="rId5"/>
    <sheet name="Measures_62443-3-3" sheetId="6" r:id="rId6"/>
    <sheet name="Measures_62443-2-1" sheetId="7" r:id="rId7"/>
    <sheet name="Risk_evaluation" sheetId="8" r:id="rId8"/>
    <sheet name="Likelihood" sheetId="10" r:id="rId9"/>
    <sheet name="Impact" sheetId="9" r:id="rId10"/>
    <sheet name="Risk" sheetId="11" r:id="rId11"/>
    <sheet name="Template_Changelog" sheetId="13" r:id="rId12"/>
    <sheet name="_Measures_Heatmap" sheetId="14" state="hidden" r:id="rId13"/>
    <sheet name="_3_3_OVERVIEW_PRE" sheetId="19" state="hidden" r:id="rId14"/>
    <sheet name="_3_3_OVERVIEW_MITIGATING" sheetId="16" state="hidden" r:id="rId15"/>
    <sheet name="_2_1_OVERVIEW" sheetId="17" state="hidden" r:id="rId16"/>
    <sheet name="_DATA" sheetId="18" state="hidden" r:id="rId17"/>
  </sheets>
  <externalReferences>
    <externalReference r:id="rId18"/>
  </externalReferences>
  <definedNames>
    <definedName name="Archivierung">#REF!</definedName>
    <definedName name="Autorisierung">#REF!</definedName>
    <definedName name="Datenschutz">#REF!</definedName>
    <definedName name="dsfasdf">#REF!</definedName>
    <definedName name="Extern">#REF!</definedName>
    <definedName name="Integrität">#REF!</definedName>
    <definedName name="Katastrophenvorsorge">#REF!</definedName>
    <definedName name="Klassifizierung">#REF!</definedName>
    <definedName name="Maturity_Rating">[1]Hilfsfunktionen!$A$6:$A$11</definedName>
    <definedName name="Nein" comment="Katastrophenvorsorge">#REF!</definedName>
    <definedName name="Status">#REF!</definedName>
    <definedName name="Verfügbarkeit">#REF!</definedName>
    <definedName name="Vertraulichkeit">#REF!</definedName>
    <definedName name="Vertraulichkeitsklass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7" l="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E4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I4" i="6"/>
  <c r="B7" i="10" a="1"/>
  <c r="B7" i="10" s="1"/>
  <c r="AH7" i="8" a="1"/>
  <c r="AH7" i="8" s="1"/>
  <c r="AH8" i="8" a="1"/>
  <c r="AH8" i="8" s="1"/>
  <c r="AH9" i="8" a="1"/>
  <c r="AH9" i="8" s="1"/>
  <c r="AH10" i="8" a="1"/>
  <c r="AH10" i="8" s="1"/>
  <c r="AH11" i="8" a="1"/>
  <c r="AH11" i="8" s="1"/>
  <c r="AH12" i="8" a="1"/>
  <c r="AH12" i="8" s="1"/>
  <c r="AH13" i="8" a="1"/>
  <c r="AH13" i="8" s="1"/>
  <c r="AH14" i="8" a="1"/>
  <c r="AH14" i="8" s="1"/>
  <c r="AH15" i="8" a="1"/>
  <c r="AH15" i="8" s="1"/>
  <c r="AH16" i="8" a="1"/>
  <c r="AH16" i="8" s="1"/>
  <c r="AH17" i="8" a="1"/>
  <c r="AH17" i="8" s="1"/>
  <c r="AH18" i="8" a="1"/>
  <c r="AH18" i="8" s="1"/>
  <c r="AH19" i="8" a="1"/>
  <c r="AH19" i="8" s="1"/>
  <c r="AH20" i="8" a="1"/>
  <c r="AH20" i="8" s="1"/>
  <c r="AH21" i="8" a="1"/>
  <c r="AH21" i="8" s="1"/>
  <c r="AH22" i="8" a="1"/>
  <c r="AH22" i="8" s="1"/>
  <c r="AH23" i="8" a="1"/>
  <c r="AH23" i="8" s="1"/>
  <c r="AH24" i="8" a="1"/>
  <c r="AH24" i="8" s="1"/>
  <c r="AH25" i="8" a="1"/>
  <c r="AH25" i="8" s="1"/>
  <c r="AH26" i="8" a="1"/>
  <c r="AH26" i="8" s="1"/>
  <c r="AH27" i="8" a="1"/>
  <c r="AH27" i="8" s="1"/>
  <c r="AH28" i="8" a="1"/>
  <c r="AH28" i="8" s="1"/>
  <c r="AH29" i="8" a="1"/>
  <c r="AH29" i="8" s="1"/>
  <c r="AH30" i="8" a="1"/>
  <c r="AH30" i="8" s="1"/>
  <c r="AH31" i="8" a="1"/>
  <c r="AH31" i="8" s="1"/>
  <c r="AH32" i="8" a="1"/>
  <c r="AH32" i="8" s="1"/>
  <c r="AH33" i="8" a="1"/>
  <c r="AH33" i="8" s="1"/>
  <c r="AH34" i="8" a="1"/>
  <c r="AH34" i="8" s="1"/>
  <c r="AH35" i="8" a="1"/>
  <c r="AH35" i="8" s="1"/>
  <c r="AH36" i="8" a="1"/>
  <c r="AH36" i="8" s="1"/>
  <c r="AH37" i="8" a="1"/>
  <c r="AH37" i="8" s="1"/>
  <c r="AH38" i="8" a="1"/>
  <c r="AH38" i="8" s="1"/>
  <c r="AH39" i="8" a="1"/>
  <c r="AH39" i="8" s="1"/>
  <c r="AH40" i="8" a="1"/>
  <c r="AH40" i="8" s="1"/>
  <c r="AH41" i="8" a="1"/>
  <c r="AH41" i="8" s="1"/>
  <c r="AH42" i="8" a="1"/>
  <c r="AH42" i="8" s="1"/>
  <c r="AH43" i="8" a="1"/>
  <c r="AH43" i="8" s="1"/>
  <c r="AH44" i="8" a="1"/>
  <c r="AH44" i="8" s="1"/>
  <c r="AH45" i="8" a="1"/>
  <c r="AH45" i="8" s="1"/>
  <c r="AH46" i="8" a="1"/>
  <c r="AH46" i="8" s="1"/>
  <c r="AH47" i="8" a="1"/>
  <c r="AH47" i="8" s="1"/>
  <c r="AH48" i="8" a="1"/>
  <c r="AH48" i="8" s="1"/>
  <c r="AH49" i="8" a="1"/>
  <c r="AH49" i="8" s="1"/>
  <c r="AH50" i="8" a="1"/>
  <c r="AH50" i="8" s="1"/>
  <c r="AH51" i="8" a="1"/>
  <c r="AH51" i="8" s="1"/>
  <c r="AH52" i="8" a="1"/>
  <c r="AH52" i="8" s="1"/>
  <c r="AH53" i="8" a="1"/>
  <c r="AH53" i="8" s="1"/>
  <c r="AH54" i="8" a="1"/>
  <c r="AH54" i="8" s="1"/>
  <c r="AH55" i="8" a="1"/>
  <c r="AH55" i="8" s="1"/>
  <c r="AH56" i="8" a="1"/>
  <c r="AH56" i="8" s="1"/>
  <c r="AH57" i="8" a="1"/>
  <c r="AH57" i="8" s="1"/>
  <c r="AH58" i="8" a="1"/>
  <c r="AH58" i="8" s="1"/>
  <c r="AH59" i="8" a="1"/>
  <c r="AH59" i="8" s="1"/>
  <c r="AH60" i="8" a="1"/>
  <c r="AH60" i="8" s="1"/>
  <c r="AH61" i="8" a="1"/>
  <c r="AH61" i="8" s="1"/>
  <c r="AH62" i="8" a="1"/>
  <c r="AH62" i="8" s="1"/>
  <c r="AH63" i="8" a="1"/>
  <c r="AH63" i="8" s="1"/>
  <c r="AH64" i="8" a="1"/>
  <c r="AH64" i="8" s="1"/>
  <c r="AH6" i="8" a="1"/>
  <c r="AH6" i="8" s="1"/>
  <c r="Y7" i="8" a="1"/>
  <c r="Y7" i="8" s="1"/>
  <c r="Y8" i="8" a="1"/>
  <c r="Y8" i="8" s="1"/>
  <c r="Y9" i="8" a="1"/>
  <c r="Y9" i="8" s="1"/>
  <c r="Y10" i="8" a="1"/>
  <c r="Y10" i="8" s="1"/>
  <c r="Y11" i="8" a="1"/>
  <c r="Y11" i="8" s="1"/>
  <c r="Y12" i="8" a="1"/>
  <c r="Y12" i="8" s="1"/>
  <c r="Y13" i="8" a="1"/>
  <c r="Y13" i="8" s="1"/>
  <c r="Y14" i="8" a="1"/>
  <c r="Y14" i="8" s="1"/>
  <c r="Y15" i="8" a="1"/>
  <c r="Y15" i="8" s="1"/>
  <c r="Y16" i="8" a="1"/>
  <c r="Y16" i="8" s="1"/>
  <c r="Y17" i="8" a="1"/>
  <c r="Y17" i="8" s="1"/>
  <c r="Y18" i="8" a="1"/>
  <c r="Y18" i="8" s="1"/>
  <c r="Y19" i="8" a="1"/>
  <c r="Y19" i="8" s="1"/>
  <c r="Y20" i="8" a="1"/>
  <c r="Y20" i="8" s="1"/>
  <c r="Y21" i="8" a="1"/>
  <c r="Y21" i="8" s="1"/>
  <c r="Y22" i="8" a="1"/>
  <c r="Y22" i="8" s="1"/>
  <c r="Y23" i="8" a="1"/>
  <c r="Y23" i="8" s="1"/>
  <c r="Y24" i="8" a="1"/>
  <c r="Y24" i="8" s="1"/>
  <c r="Y25" i="8" a="1"/>
  <c r="Y25" i="8"/>
  <c r="Y26" i="8" a="1"/>
  <c r="Y26" i="8" s="1"/>
  <c r="Y27" i="8" a="1"/>
  <c r="Y27" i="8" s="1"/>
  <c r="Y28" i="8" a="1"/>
  <c r="Y28" i="8" s="1"/>
  <c r="Y29" i="8" a="1"/>
  <c r="Y29" i="8"/>
  <c r="Y30" i="8" a="1"/>
  <c r="Y30" i="8" s="1"/>
  <c r="Y31" i="8" a="1"/>
  <c r="Y31" i="8" s="1"/>
  <c r="Y32" i="8" a="1"/>
  <c r="Y32" i="8" s="1"/>
  <c r="Y33" i="8" a="1"/>
  <c r="Y33" i="8" s="1"/>
  <c r="Y34" i="8" a="1"/>
  <c r="Y34" i="8" s="1"/>
  <c r="Y35" i="8" a="1"/>
  <c r="Y35" i="8" s="1"/>
  <c r="Y36" i="8" a="1"/>
  <c r="Y36" i="8" s="1"/>
  <c r="Y37" i="8" a="1"/>
  <c r="Y37" i="8" s="1"/>
  <c r="Y38" i="8" a="1"/>
  <c r="Y38" i="8" s="1"/>
  <c r="Y39" i="8" a="1"/>
  <c r="Y39" i="8" s="1"/>
  <c r="Y40" i="8" a="1"/>
  <c r="Y40" i="8" s="1"/>
  <c r="Y41" i="8" a="1"/>
  <c r="Y41" i="8" s="1"/>
  <c r="Y42" i="8" a="1"/>
  <c r="Y42" i="8" s="1"/>
  <c r="Y43" i="8" a="1"/>
  <c r="Y43" i="8" s="1"/>
  <c r="Y44" i="8" a="1"/>
  <c r="Y44" i="8" s="1"/>
  <c r="Y45" i="8" a="1"/>
  <c r="Y45" i="8" s="1"/>
  <c r="Y46" i="8" a="1"/>
  <c r="Y46" i="8" s="1"/>
  <c r="Y47" i="8" a="1"/>
  <c r="Y47" i="8" s="1"/>
  <c r="Y48" i="8" a="1"/>
  <c r="Y48" i="8" s="1"/>
  <c r="Y49" i="8" a="1"/>
  <c r="Y49" i="8" s="1"/>
  <c r="Y50" i="8" a="1"/>
  <c r="Y50" i="8" s="1"/>
  <c r="Y51" i="8" a="1"/>
  <c r="Y51" i="8" s="1"/>
  <c r="Y52" i="8" a="1"/>
  <c r="Y52" i="8" s="1"/>
  <c r="Y53" i="8" a="1"/>
  <c r="Y53" i="8" s="1"/>
  <c r="Y54" i="8" a="1"/>
  <c r="Y54" i="8" s="1"/>
  <c r="Y55" i="8" a="1"/>
  <c r="Y55" i="8" s="1"/>
  <c r="Y56" i="8" a="1"/>
  <c r="Y56" i="8" s="1"/>
  <c r="Y57" i="8" a="1"/>
  <c r="Y57" i="8"/>
  <c r="Y58" i="8" a="1"/>
  <c r="Y58" i="8" s="1"/>
  <c r="Y59" i="8" a="1"/>
  <c r="Y59" i="8" s="1"/>
  <c r="Y60" i="8" a="1"/>
  <c r="Y60" i="8" s="1"/>
  <c r="Y61" i="8" a="1"/>
  <c r="Y61" i="8"/>
  <c r="Y62" i="8" a="1"/>
  <c r="Y62" i="8" s="1"/>
  <c r="Y63" i="8" a="1"/>
  <c r="Y63" i="8" s="1"/>
  <c r="Y64" i="8" a="1"/>
  <c r="Y64" i="8" s="1"/>
  <c r="Y6" i="8" a="1"/>
  <c r="Y6" i="8" s="1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M6" i="4"/>
  <c r="M7" i="4"/>
  <c r="M8" i="4"/>
  <c r="M9" i="4"/>
  <c r="M10" i="4"/>
  <c r="X10" i="4" s="1" a="1"/>
  <c r="X10" i="4" s="1"/>
  <c r="M11" i="4"/>
  <c r="M12" i="4"/>
  <c r="X12" i="4" s="1" a="1"/>
  <c r="X12" i="4" s="1"/>
  <c r="M13" i="4"/>
  <c r="M14" i="4"/>
  <c r="X14" i="4" s="1" a="1"/>
  <c r="X14" i="4" s="1"/>
  <c r="M15" i="4"/>
  <c r="X15" i="4" s="1" a="1"/>
  <c r="X15" i="4" s="1"/>
  <c r="M16" i="4"/>
  <c r="X16" i="4" s="1" a="1"/>
  <c r="X16" i="4" s="1"/>
  <c r="M17" i="4"/>
  <c r="M18" i="4"/>
  <c r="X18" i="4" s="1" a="1"/>
  <c r="X18" i="4" s="1"/>
  <c r="M19" i="4"/>
  <c r="M20" i="4"/>
  <c r="X20" i="4" s="1" a="1"/>
  <c r="X20" i="4" s="1"/>
  <c r="M21" i="4"/>
  <c r="M22" i="4"/>
  <c r="X22" i="4" s="1" a="1"/>
  <c r="X22" i="4" s="1"/>
  <c r="M23" i="4"/>
  <c r="X23" i="4" s="1" a="1"/>
  <c r="X23" i="4" s="1"/>
  <c r="M24" i="4"/>
  <c r="X24" i="4" s="1" a="1"/>
  <c r="X24" i="4" s="1"/>
  <c r="M25" i="4"/>
  <c r="M26" i="4"/>
  <c r="X26" i="4" s="1" a="1"/>
  <c r="X26" i="4" s="1"/>
  <c r="M27" i="4"/>
  <c r="M28" i="4"/>
  <c r="X28" i="4" s="1" a="1"/>
  <c r="X28" i="4" s="1"/>
  <c r="M29" i="4"/>
  <c r="M30" i="4"/>
  <c r="X30" i="4" s="1" a="1"/>
  <c r="X30" i="4" s="1"/>
  <c r="M31" i="4"/>
  <c r="X31" i="4" s="1" a="1"/>
  <c r="X31" i="4" s="1"/>
  <c r="M32" i="4"/>
  <c r="X32" i="4" s="1" a="1"/>
  <c r="X32" i="4" s="1"/>
  <c r="M33" i="4"/>
  <c r="M34" i="4"/>
  <c r="X34" i="4" s="1" a="1"/>
  <c r="X34" i="4" s="1"/>
  <c r="M35" i="4"/>
  <c r="M36" i="4"/>
  <c r="X36" i="4" s="1" a="1"/>
  <c r="X36" i="4" s="1"/>
  <c r="M37" i="4"/>
  <c r="M38" i="4"/>
  <c r="X38" i="4" s="1" a="1"/>
  <c r="X38" i="4" s="1"/>
  <c r="M39" i="4"/>
  <c r="X39" i="4" s="1" a="1"/>
  <c r="X39" i="4" s="1"/>
  <c r="M40" i="4"/>
  <c r="X40" i="4" s="1" a="1"/>
  <c r="X40" i="4" s="1"/>
  <c r="M41" i="4"/>
  <c r="M42" i="4"/>
  <c r="X42" i="4" s="1" a="1"/>
  <c r="X42" i="4" s="1"/>
  <c r="M43" i="4"/>
  <c r="M44" i="4"/>
  <c r="X44" i="4" s="1" a="1"/>
  <c r="X44" i="4" s="1"/>
  <c r="M45" i="4"/>
  <c r="M46" i="4"/>
  <c r="X46" i="4" s="1" a="1"/>
  <c r="X46" i="4" s="1"/>
  <c r="M47" i="4"/>
  <c r="X47" i="4" s="1" a="1"/>
  <c r="X47" i="4" s="1"/>
  <c r="M48" i="4"/>
  <c r="X48" i="4" s="1" a="1"/>
  <c r="X48" i="4" s="1"/>
  <c r="M49" i="4"/>
  <c r="M50" i="4"/>
  <c r="X50" i="4" s="1" a="1"/>
  <c r="X50" i="4" s="1"/>
  <c r="M51" i="4"/>
  <c r="M52" i="4"/>
  <c r="X52" i="4" s="1" a="1"/>
  <c r="X52" i="4" s="1"/>
  <c r="M53" i="4"/>
  <c r="M54" i="4"/>
  <c r="X54" i="4" s="1" a="1"/>
  <c r="X54" i="4" s="1"/>
  <c r="M55" i="4"/>
  <c r="X55" i="4" s="1" a="1"/>
  <c r="X55" i="4" s="1"/>
  <c r="M56" i="4"/>
  <c r="X56" i="4" s="1" a="1"/>
  <c r="X56" i="4" s="1"/>
  <c r="M57" i="4"/>
  <c r="M58" i="4"/>
  <c r="X58" i="4" s="1" a="1"/>
  <c r="X58" i="4" s="1"/>
  <c r="M59" i="4"/>
  <c r="M60" i="4"/>
  <c r="X60" i="4" s="1" a="1"/>
  <c r="X60" i="4" s="1"/>
  <c r="M61" i="4"/>
  <c r="M62" i="4"/>
  <c r="X62" i="4" s="1" a="1"/>
  <c r="X62" i="4" s="1"/>
  <c r="M63" i="4"/>
  <c r="X63" i="4" s="1" a="1"/>
  <c r="X63" i="4" s="1"/>
  <c r="M64" i="4"/>
  <c r="X64" i="4" s="1" a="1"/>
  <c r="X64" i="4" s="1"/>
  <c r="X59" i="4" l="1" a="1"/>
  <c r="X59" i="4" s="1"/>
  <c r="X35" i="4" a="1"/>
  <c r="X35" i="4" s="1"/>
  <c r="X19" i="4" a="1"/>
  <c r="X19" i="4" s="1"/>
  <c r="X11" i="4" a="1"/>
  <c r="X11" i="4" s="1"/>
  <c r="X43" i="4" a="1"/>
  <c r="X43" i="4" s="1"/>
  <c r="X51" i="4" a="1"/>
  <c r="X51" i="4" s="1"/>
  <c r="X27" i="4" a="1"/>
  <c r="X27" i="4" s="1"/>
  <c r="X8" i="4" a="1"/>
  <c r="X8" i="4" s="1"/>
  <c r="X7" i="4" a="1"/>
  <c r="X7" i="4" s="1"/>
  <c r="X37" i="4" a="1"/>
  <c r="X37" i="4" s="1"/>
  <c r="X6" i="4" a="1"/>
  <c r="X6" i="4" s="1"/>
  <c r="X61" i="4" a="1"/>
  <c r="X61" i="4" s="1"/>
  <c r="X53" i="4" a="1"/>
  <c r="X53" i="4" s="1"/>
  <c r="X45" i="4" a="1"/>
  <c r="X45" i="4" s="1"/>
  <c r="X29" i="4" a="1"/>
  <c r="X29" i="4" s="1"/>
  <c r="X21" i="4" a="1"/>
  <c r="X21" i="4" s="1"/>
  <c r="X13" i="4" a="1"/>
  <c r="X13" i="4" s="1"/>
  <c r="X57" i="4" a="1"/>
  <c r="X57" i="4" s="1"/>
  <c r="X49" i="4" a="1"/>
  <c r="X49" i="4" s="1"/>
  <c r="X41" i="4" a="1"/>
  <c r="X41" i="4" s="1"/>
  <c r="X33" i="4" a="1"/>
  <c r="X33" i="4" s="1"/>
  <c r="X25" i="4" a="1"/>
  <c r="X25" i="4" s="1"/>
  <c r="X17" i="4" a="1"/>
  <c r="X17" i="4" s="1"/>
  <c r="X9" i="4" a="1"/>
  <c r="X9" i="4" s="1"/>
  <c r="R6" i="4" l="1"/>
  <c r="R7" i="4"/>
  <c r="R8" i="4"/>
  <c r="R9" i="4"/>
  <c r="R10" i="4"/>
  <c r="Q6" i="4"/>
  <c r="Q7" i="4"/>
  <c r="Q8" i="4"/>
  <c r="Q9" i="4"/>
  <c r="Q10" i="4"/>
  <c r="L105" i="6" l="1" a="1"/>
  <c r="L105" i="6" s="1"/>
  <c r="AI6" i="4"/>
  <c r="AI7" i="4"/>
  <c r="AI8" i="4"/>
  <c r="AI11" i="4"/>
  <c r="AI14" i="4"/>
  <c r="AI24" i="4"/>
  <c r="AI33" i="4"/>
  <c r="AI34" i="4"/>
  <c r="AI36" i="4"/>
  <c r="AI38" i="4"/>
  <c r="AI39" i="4"/>
  <c r="AI40" i="4"/>
  <c r="AI41" i="4"/>
  <c r="AI42" i="4"/>
  <c r="AI45" i="4"/>
  <c r="AI46" i="4"/>
  <c r="AI48" i="4"/>
  <c r="AI49" i="4"/>
  <c r="AI51" i="4"/>
  <c r="AI52" i="4"/>
  <c r="AI53" i="4"/>
  <c r="AI54" i="4"/>
  <c r="AI55" i="4"/>
  <c r="AI56" i="4"/>
  <c r="AI57" i="4"/>
  <c r="AI58" i="4"/>
  <c r="AI59" i="4"/>
  <c r="AI62" i="4"/>
  <c r="AH6" i="4"/>
  <c r="AH7" i="4"/>
  <c r="AH8" i="4"/>
  <c r="AH11" i="4"/>
  <c r="AH24" i="4"/>
  <c r="AH33" i="4"/>
  <c r="AH34" i="4"/>
  <c r="AH36" i="4"/>
  <c r="AH39" i="4"/>
  <c r="AH40" i="4"/>
  <c r="AH41" i="4"/>
  <c r="AH42" i="4"/>
  <c r="AH45" i="4"/>
  <c r="AH48" i="4"/>
  <c r="AH49" i="4"/>
  <c r="AH50" i="4"/>
  <c r="AH51" i="4"/>
  <c r="AH52" i="4"/>
  <c r="AH57" i="4"/>
  <c r="AH58" i="4"/>
  <c r="AH59" i="4"/>
  <c r="AH60" i="4"/>
  <c r="AH61" i="4"/>
  <c r="AH62" i="4"/>
  <c r="AH63" i="4"/>
  <c r="AG16" i="4"/>
  <c r="AG23" i="4"/>
  <c r="AG26" i="4"/>
  <c r="AG30" i="4"/>
  <c r="AG33" i="4"/>
  <c r="AG34" i="4"/>
  <c r="AG36" i="4"/>
  <c r="AG38" i="4"/>
  <c r="AG39" i="4"/>
  <c r="AG40" i="4"/>
  <c r="AG41" i="4"/>
  <c r="AG42" i="4"/>
  <c r="AG45" i="4"/>
  <c r="AG46" i="4"/>
  <c r="AG48" i="4"/>
  <c r="AG51" i="4"/>
  <c r="AG52" i="4"/>
  <c r="AG57" i="4"/>
  <c r="AG58" i="4"/>
  <c r="AG59" i="4"/>
  <c r="AG60" i="4"/>
  <c r="AG61" i="4"/>
  <c r="AG62" i="4"/>
  <c r="AG63" i="4"/>
  <c r="AF14" i="4"/>
  <c r="AF16" i="4"/>
  <c r="AF23" i="4"/>
  <c r="AF26" i="4"/>
  <c r="AF30" i="4"/>
  <c r="AF31" i="4"/>
  <c r="AF33" i="4"/>
  <c r="AF34" i="4"/>
  <c r="AF36" i="4"/>
  <c r="AF38" i="4"/>
  <c r="AF39" i="4"/>
  <c r="AF40" i="4"/>
  <c r="AF41" i="4"/>
  <c r="AF44" i="4"/>
  <c r="AF45" i="4"/>
  <c r="AF46" i="4"/>
  <c r="AF48" i="4"/>
  <c r="AF49" i="4"/>
  <c r="AF50" i="4"/>
  <c r="AF51" i="4"/>
  <c r="AF52" i="4"/>
  <c r="AF53" i="4"/>
  <c r="AF54" i="4"/>
  <c r="AF55" i="4"/>
  <c r="AF56" i="4"/>
  <c r="AF60" i="4"/>
  <c r="AF61" i="4"/>
  <c r="AF62" i="4"/>
  <c r="AF63" i="4"/>
  <c r="AE6" i="4"/>
  <c r="AE7" i="4"/>
  <c r="AE8" i="4"/>
  <c r="AE9" i="4"/>
  <c r="AE10" i="4"/>
  <c r="AE11" i="4"/>
  <c r="AE16" i="4"/>
  <c r="AE24" i="4"/>
  <c r="AE26" i="4"/>
  <c r="AE30" i="4"/>
  <c r="AE33" i="4"/>
  <c r="AE34" i="4"/>
  <c r="AE36" i="4"/>
  <c r="AE38" i="4"/>
  <c r="AE39" i="4"/>
  <c r="AE40" i="4"/>
  <c r="AE41" i="4"/>
  <c r="AE44" i="4"/>
  <c r="AE45" i="4"/>
  <c r="AE46" i="4"/>
  <c r="AE48" i="4"/>
  <c r="AE49" i="4"/>
  <c r="AE50" i="4"/>
  <c r="AE51" i="4"/>
  <c r="AE52" i="4"/>
  <c r="AE53" i="4"/>
  <c r="AE54" i="4"/>
  <c r="AE55" i="4"/>
  <c r="AE56" i="4"/>
  <c r="AE60" i="4"/>
  <c r="AE61" i="4"/>
  <c r="AE63" i="4"/>
  <c r="AD33" i="4"/>
  <c r="AD34" i="4"/>
  <c r="AD36" i="4"/>
  <c r="AD38" i="4"/>
  <c r="AD39" i="4"/>
  <c r="AD40" i="4"/>
  <c r="AD41" i="4"/>
  <c r="AD44" i="4"/>
  <c r="AD46" i="4"/>
  <c r="AD48" i="4"/>
  <c r="AD49" i="4"/>
  <c r="AD50" i="4"/>
  <c r="AD53" i="4"/>
  <c r="AD54" i="4"/>
  <c r="AD55" i="4"/>
  <c r="AD56" i="4"/>
  <c r="AD60" i="4"/>
  <c r="AD61" i="4"/>
  <c r="AD62" i="4"/>
  <c r="AD63" i="4"/>
  <c r="AC19" i="4"/>
  <c r="AC23" i="4"/>
  <c r="AC33" i="4"/>
  <c r="AC34" i="4"/>
  <c r="AC36" i="4"/>
  <c r="AC38" i="4"/>
  <c r="AC39" i="4"/>
  <c r="AC40" i="4"/>
  <c r="AC41" i="4"/>
  <c r="AC44" i="4"/>
  <c r="AC46" i="4"/>
  <c r="AC48" i="4"/>
  <c r="AC49" i="4"/>
  <c r="AC50" i="4"/>
  <c r="AC53" i="4"/>
  <c r="AC54" i="4"/>
  <c r="AC55" i="4"/>
  <c r="AC56" i="4"/>
  <c r="AC60" i="4"/>
  <c r="AC61" i="4"/>
  <c r="AC62" i="4"/>
  <c r="AC63" i="4"/>
  <c r="W13" i="4" a="1"/>
  <c r="W13" i="4" s="1"/>
  <c r="AB13" i="4" s="1"/>
  <c r="AI13" i="4" s="1"/>
  <c r="W14" i="4" a="1"/>
  <c r="W14" i="4" s="1"/>
  <c r="AB14" i="4" s="1"/>
  <c r="W15" i="4" a="1"/>
  <c r="W15" i="4" s="1"/>
  <c r="AB15" i="4" s="1"/>
  <c r="AI15" i="4" s="1"/>
  <c r="W16" i="4" a="1"/>
  <c r="W16" i="4" s="1"/>
  <c r="AB16" i="4" s="1"/>
  <c r="AI16" i="4" s="1"/>
  <c r="W17" i="4" a="1"/>
  <c r="W17" i="4" s="1"/>
  <c r="AB17" i="4" s="1"/>
  <c r="AI17" i="4" s="1"/>
  <c r="W18" i="4" a="1"/>
  <c r="W18" i="4" s="1"/>
  <c r="AB18" i="4" s="1"/>
  <c r="AI18" i="4" s="1"/>
  <c r="W19" i="4" a="1"/>
  <c r="W19" i="4" s="1"/>
  <c r="AB19" i="4" s="1"/>
  <c r="W20" i="4" a="1"/>
  <c r="W20" i="4" s="1"/>
  <c r="AB20" i="4" s="1"/>
  <c r="W21" i="4" a="1"/>
  <c r="W21" i="4" s="1"/>
  <c r="AB21" i="4" s="1"/>
  <c r="AI21" i="4" s="1"/>
  <c r="W22" i="4" a="1"/>
  <c r="W22" i="4" s="1"/>
  <c r="AB22" i="4" s="1"/>
  <c r="AI22" i="4" s="1"/>
  <c r="W23" i="4" a="1"/>
  <c r="W23" i="4" s="1"/>
  <c r="AB23" i="4" s="1"/>
  <c r="AI23" i="4" s="1"/>
  <c r="W24" i="4" a="1"/>
  <c r="W24" i="4" s="1"/>
  <c r="AB24" i="4" s="1"/>
  <c r="W25" i="4" a="1"/>
  <c r="W25" i="4" s="1"/>
  <c r="AB25" i="4" s="1"/>
  <c r="AI25" i="4" s="1"/>
  <c r="W26" i="4" a="1"/>
  <c r="W26" i="4" s="1"/>
  <c r="AB26" i="4" s="1"/>
  <c r="AH26" i="4" s="1"/>
  <c r="W27" i="4" a="1"/>
  <c r="W27" i="4" s="1"/>
  <c r="AB27" i="4" s="1"/>
  <c r="AI27" i="4" s="1"/>
  <c r="W28" i="4" a="1"/>
  <c r="W28" i="4" s="1"/>
  <c r="AB28" i="4" s="1"/>
  <c r="AI28" i="4" s="1"/>
  <c r="W29" i="4" a="1"/>
  <c r="W29" i="4" s="1"/>
  <c r="AB29" i="4" s="1"/>
  <c r="AI29" i="4" s="1"/>
  <c r="W30" i="4" a="1"/>
  <c r="W30" i="4" s="1"/>
  <c r="AB30" i="4" s="1"/>
  <c r="AC30" i="4" s="1"/>
  <c r="W31" i="4" a="1"/>
  <c r="W31" i="4" s="1"/>
  <c r="AB31" i="4" s="1"/>
  <c r="AI31" i="4" s="1"/>
  <c r="W32" i="4" a="1"/>
  <c r="W32" i="4" s="1"/>
  <c r="AB32" i="4" s="1"/>
  <c r="W33" i="4" a="1"/>
  <c r="W33" i="4" s="1"/>
  <c r="AB33" i="4" s="1"/>
  <c r="W34" i="4" a="1"/>
  <c r="W34" i="4" s="1"/>
  <c r="AB34" i="4" s="1"/>
  <c r="W36" i="4" a="1"/>
  <c r="W36" i="4" s="1"/>
  <c r="AB36" i="4" s="1"/>
  <c r="W37" i="4" a="1"/>
  <c r="W37" i="4" s="1"/>
  <c r="AB37" i="4" s="1"/>
  <c r="AI37" i="4" s="1"/>
  <c r="W38" i="4" a="1"/>
  <c r="W38" i="4" s="1"/>
  <c r="AB38" i="4" s="1"/>
  <c r="W39" i="4" a="1"/>
  <c r="W39" i="4" s="1"/>
  <c r="AB39" i="4" s="1"/>
  <c r="W40" i="4" a="1"/>
  <c r="W40" i="4" s="1"/>
  <c r="AB40" i="4" s="1"/>
  <c r="W41" i="4" a="1"/>
  <c r="W41" i="4" s="1"/>
  <c r="AB41" i="4" s="1"/>
  <c r="W42" i="4" a="1"/>
  <c r="W42" i="4" s="1"/>
  <c r="AB42" i="4" s="1"/>
  <c r="W43" i="4" a="1"/>
  <c r="W43" i="4" s="1"/>
  <c r="AB43" i="4" s="1"/>
  <c r="AI43" i="4" s="1"/>
  <c r="W44" i="4" a="1"/>
  <c r="W44" i="4" s="1"/>
  <c r="AB44" i="4" s="1"/>
  <c r="AI44" i="4" s="1"/>
  <c r="W45" i="4" a="1"/>
  <c r="W45" i="4" s="1"/>
  <c r="AB45" i="4" s="1"/>
  <c r="W46" i="4" a="1"/>
  <c r="W46" i="4" s="1"/>
  <c r="AB46" i="4" s="1"/>
  <c r="W47" i="4" a="1"/>
  <c r="W47" i="4" s="1"/>
  <c r="AB47" i="4" s="1"/>
  <c r="AI47" i="4" s="1"/>
  <c r="W48" i="4" a="1"/>
  <c r="W48" i="4" s="1"/>
  <c r="AB48" i="4" s="1"/>
  <c r="W49" i="4" a="1"/>
  <c r="W49" i="4" s="1"/>
  <c r="AB49" i="4" s="1"/>
  <c r="W50" i="4" a="1"/>
  <c r="W50" i="4" s="1"/>
  <c r="AB50" i="4" s="1"/>
  <c r="AG50" i="4" s="1"/>
  <c r="W51" i="4" a="1"/>
  <c r="W51" i="4" s="1"/>
  <c r="AB51" i="4" s="1"/>
  <c r="W52" i="4" a="1"/>
  <c r="W52" i="4" s="1"/>
  <c r="AB52" i="4" s="1"/>
  <c r="W53" i="4" a="1"/>
  <c r="W53" i="4" s="1"/>
  <c r="AB53" i="4" s="1"/>
  <c r="W54" i="4" a="1"/>
  <c r="W54" i="4" s="1"/>
  <c r="AB54" i="4" s="1"/>
  <c r="W55" i="4" a="1"/>
  <c r="W55" i="4" s="1"/>
  <c r="AB55" i="4" s="1"/>
  <c r="W56" i="4" a="1"/>
  <c r="W56" i="4" s="1"/>
  <c r="AB56" i="4" s="1"/>
  <c r="W57" i="4" a="1"/>
  <c r="W57" i="4" s="1"/>
  <c r="AB57" i="4" s="1"/>
  <c r="W58" i="4" a="1"/>
  <c r="W58" i="4" s="1"/>
  <c r="AB58" i="4" s="1"/>
  <c r="W59" i="4" a="1"/>
  <c r="W59" i="4" s="1"/>
  <c r="AB59" i="4" s="1"/>
  <c r="W60" i="4" a="1"/>
  <c r="W60" i="4" s="1"/>
  <c r="AB60" i="4" s="1"/>
  <c r="AI60" i="4" s="1"/>
  <c r="W61" i="4" a="1"/>
  <c r="W61" i="4" s="1"/>
  <c r="AB61" i="4" s="1"/>
  <c r="AI61" i="4" s="1"/>
  <c r="W62" i="4" a="1"/>
  <c r="W62" i="4" s="1"/>
  <c r="AB62" i="4" s="1"/>
  <c r="W63" i="4" a="1"/>
  <c r="W63" i="4" s="1"/>
  <c r="AB63" i="4" s="1"/>
  <c r="AI63" i="4" s="1"/>
  <c r="W64" i="4" a="1"/>
  <c r="W64" i="4" s="1"/>
  <c r="AB64" i="4" s="1"/>
  <c r="AI64" i="4" s="1"/>
  <c r="V13" i="4" a="1"/>
  <c r="V13" i="4" s="1"/>
  <c r="AA13" i="4" s="1"/>
  <c r="V14" i="4" a="1"/>
  <c r="V14" i="4" s="1"/>
  <c r="AA14" i="4" s="1"/>
  <c r="AD14" i="4" s="1"/>
  <c r="V15" i="4" a="1"/>
  <c r="V15" i="4" s="1"/>
  <c r="AA15" i="4" s="1"/>
  <c r="V16" i="4" a="1"/>
  <c r="V16" i="4" s="1"/>
  <c r="AA16" i="4" s="1"/>
  <c r="V17" i="4" a="1"/>
  <c r="V17" i="4" s="1"/>
  <c r="AA17" i="4" s="1"/>
  <c r="V18" i="4" a="1"/>
  <c r="V18" i="4" s="1"/>
  <c r="AA18" i="4" s="1"/>
  <c r="AE18" i="4" s="1"/>
  <c r="V19" i="4" a="1"/>
  <c r="V19" i="4" s="1"/>
  <c r="AA19" i="4" s="1"/>
  <c r="AE19" i="4" s="1"/>
  <c r="V20" i="4" a="1"/>
  <c r="V20" i="4" s="1"/>
  <c r="AA20" i="4" s="1"/>
  <c r="AE20" i="4" s="1"/>
  <c r="V21" i="4" a="1"/>
  <c r="V21" i="4" s="1"/>
  <c r="AA21" i="4" s="1"/>
  <c r="V22" i="4" a="1"/>
  <c r="V22" i="4" s="1"/>
  <c r="AA22" i="4" s="1"/>
  <c r="AE22" i="4" s="1"/>
  <c r="V23" i="4" a="1"/>
  <c r="V23" i="4" s="1"/>
  <c r="AA23" i="4" s="1"/>
  <c r="AE23" i="4" s="1"/>
  <c r="V24" i="4" a="1"/>
  <c r="V24" i="4" s="1"/>
  <c r="AA24" i="4" s="1"/>
  <c r="V25" i="4" a="1"/>
  <c r="V25" i="4" s="1"/>
  <c r="AA25" i="4" s="1"/>
  <c r="AE25" i="4" s="1"/>
  <c r="V26" i="4" a="1"/>
  <c r="V26" i="4" s="1"/>
  <c r="AA26" i="4" s="1"/>
  <c r="V27" i="4" a="1"/>
  <c r="V27" i="4" s="1"/>
  <c r="AA27" i="4" s="1"/>
  <c r="V28" i="4" a="1"/>
  <c r="V28" i="4" s="1"/>
  <c r="AA28" i="4" s="1"/>
  <c r="V29" i="4" a="1"/>
  <c r="V29" i="4" s="1"/>
  <c r="AA29" i="4" s="1"/>
  <c r="V30" i="4" a="1"/>
  <c r="V30" i="4" s="1"/>
  <c r="AA30" i="4" s="1"/>
  <c r="V31" i="4" a="1"/>
  <c r="V31" i="4" s="1"/>
  <c r="AA31" i="4" s="1"/>
  <c r="V32" i="4" a="1"/>
  <c r="V32" i="4" s="1"/>
  <c r="AA32" i="4" s="1"/>
  <c r="V33" i="4" a="1"/>
  <c r="V33" i="4" s="1"/>
  <c r="AA33" i="4" s="1"/>
  <c r="V34" i="4" a="1"/>
  <c r="V34" i="4" s="1"/>
  <c r="AA34" i="4" s="1"/>
  <c r="V36" i="4" a="1"/>
  <c r="V36" i="4" s="1"/>
  <c r="AA36" i="4" s="1"/>
  <c r="V37" i="4" a="1"/>
  <c r="V37" i="4" s="1"/>
  <c r="AA37" i="4" s="1"/>
  <c r="V38" i="4" a="1"/>
  <c r="V38" i="4" s="1"/>
  <c r="AA38" i="4" s="1"/>
  <c r="V39" i="4" a="1"/>
  <c r="V39" i="4" s="1"/>
  <c r="AA39" i="4" s="1"/>
  <c r="V40" i="4" a="1"/>
  <c r="V40" i="4" s="1"/>
  <c r="AA40" i="4" s="1"/>
  <c r="V41" i="4" a="1"/>
  <c r="V41" i="4" s="1"/>
  <c r="AA41" i="4" s="1"/>
  <c r="V42" i="4" a="1"/>
  <c r="V42" i="4" s="1"/>
  <c r="AA42" i="4" s="1"/>
  <c r="V43" i="4" a="1"/>
  <c r="V43" i="4" s="1"/>
  <c r="AA43" i="4" s="1"/>
  <c r="V44" i="4" a="1"/>
  <c r="V44" i="4" s="1"/>
  <c r="AA44" i="4" s="1"/>
  <c r="V45" i="4" a="1"/>
  <c r="V45" i="4" s="1"/>
  <c r="AA45" i="4" s="1"/>
  <c r="V46" i="4" a="1"/>
  <c r="V46" i="4" s="1"/>
  <c r="AA46" i="4" s="1"/>
  <c r="V47" i="4" a="1"/>
  <c r="V47" i="4" s="1"/>
  <c r="AA47" i="4" s="1"/>
  <c r="V48" i="4" a="1"/>
  <c r="V48" i="4" s="1"/>
  <c r="AA48" i="4" s="1"/>
  <c r="V49" i="4" a="1"/>
  <c r="V49" i="4" s="1"/>
  <c r="AA49" i="4" s="1"/>
  <c r="V50" i="4" a="1"/>
  <c r="V50" i="4" s="1"/>
  <c r="AA50" i="4" s="1"/>
  <c r="V51" i="4" a="1"/>
  <c r="V51" i="4" s="1"/>
  <c r="AA51" i="4" s="1"/>
  <c r="V52" i="4" a="1"/>
  <c r="V52" i="4" s="1"/>
  <c r="AA52" i="4" s="1"/>
  <c r="V53" i="4" a="1"/>
  <c r="V53" i="4" s="1"/>
  <c r="AA53" i="4" s="1"/>
  <c r="V54" i="4" a="1"/>
  <c r="V54" i="4" s="1"/>
  <c r="AA54" i="4" s="1"/>
  <c r="V55" i="4" a="1"/>
  <c r="V55" i="4" s="1"/>
  <c r="AA55" i="4" s="1"/>
  <c r="V56" i="4" a="1"/>
  <c r="V56" i="4" s="1"/>
  <c r="AA56" i="4" s="1"/>
  <c r="V57" i="4" a="1"/>
  <c r="V57" i="4" s="1"/>
  <c r="AA57" i="4" s="1"/>
  <c r="V58" i="4" a="1"/>
  <c r="V58" i="4" s="1"/>
  <c r="AA58" i="4" s="1"/>
  <c r="AE58" i="4" s="1"/>
  <c r="V59" i="4" a="1"/>
  <c r="V59" i="4" s="1"/>
  <c r="AA59" i="4" s="1"/>
  <c r="AE59" i="4" s="1"/>
  <c r="V60" i="4" a="1"/>
  <c r="V60" i="4" s="1"/>
  <c r="AA60" i="4" s="1"/>
  <c r="V61" i="4" a="1"/>
  <c r="V61" i="4" s="1"/>
  <c r="AA61" i="4" s="1"/>
  <c r="V62" i="4" a="1"/>
  <c r="V62" i="4" s="1"/>
  <c r="AA62" i="4" s="1"/>
  <c r="AE62" i="4" s="1"/>
  <c r="V63" i="4" a="1"/>
  <c r="V63" i="4" s="1"/>
  <c r="AA63" i="4" s="1"/>
  <c r="V64" i="4" a="1"/>
  <c r="V64" i="4" s="1"/>
  <c r="AA64" i="4" s="1"/>
  <c r="U13" i="4" a="1"/>
  <c r="U13" i="4" s="1"/>
  <c r="Z13" i="4" s="1"/>
  <c r="U14" i="4" a="1"/>
  <c r="U14" i="4" s="1"/>
  <c r="Z14" i="4" s="1"/>
  <c r="U15" i="4" a="1"/>
  <c r="U15" i="4" s="1"/>
  <c r="Z15" i="4" s="1"/>
  <c r="AF15" i="4" s="1"/>
  <c r="U16" i="4" a="1"/>
  <c r="U16" i="4" s="1"/>
  <c r="Z16" i="4" s="1"/>
  <c r="U17" i="4" a="1"/>
  <c r="U17" i="4" s="1"/>
  <c r="Z17" i="4" s="1"/>
  <c r="U18" i="4" a="1"/>
  <c r="U18" i="4" s="1"/>
  <c r="Z18" i="4" s="1"/>
  <c r="AF18" i="4" s="1"/>
  <c r="U19" i="4" a="1"/>
  <c r="U19" i="4" s="1"/>
  <c r="Z19" i="4" s="1"/>
  <c r="U20" i="4" a="1"/>
  <c r="U20" i="4" s="1"/>
  <c r="Z20" i="4" s="1"/>
  <c r="AF20" i="4" s="1"/>
  <c r="U21" i="4" a="1"/>
  <c r="U21" i="4" s="1"/>
  <c r="Z21" i="4" s="1"/>
  <c r="AF21" i="4" s="1"/>
  <c r="U22" i="4" a="1"/>
  <c r="U22" i="4" s="1"/>
  <c r="Z22" i="4" s="1"/>
  <c r="AF22" i="4" s="1"/>
  <c r="U23" i="4" a="1"/>
  <c r="U23" i="4" s="1"/>
  <c r="Z23" i="4" s="1"/>
  <c r="U24" i="4" a="1"/>
  <c r="U24" i="4" s="1"/>
  <c r="Z24" i="4" s="1"/>
  <c r="AF24" i="4" s="1"/>
  <c r="U25" i="4" a="1"/>
  <c r="U25" i="4" s="1"/>
  <c r="Z25" i="4" s="1"/>
  <c r="AF25" i="4" s="1"/>
  <c r="U26" i="4" a="1"/>
  <c r="U26" i="4" s="1"/>
  <c r="Z26" i="4" s="1"/>
  <c r="U27" i="4" a="1"/>
  <c r="U27" i="4" s="1"/>
  <c r="Z27" i="4" s="1"/>
  <c r="U28" i="4" a="1"/>
  <c r="U28" i="4" s="1"/>
  <c r="Z28" i="4" s="1"/>
  <c r="U29" i="4" a="1"/>
  <c r="U29" i="4" s="1"/>
  <c r="Z29" i="4" s="1"/>
  <c r="U30" i="4" a="1"/>
  <c r="U30" i="4" s="1"/>
  <c r="Z30" i="4" s="1"/>
  <c r="U31" i="4" a="1"/>
  <c r="U31" i="4" s="1"/>
  <c r="Z31" i="4" s="1"/>
  <c r="U32" i="4" a="1"/>
  <c r="U32" i="4" s="1"/>
  <c r="Z32" i="4" s="1"/>
  <c r="AF32" i="4" s="1"/>
  <c r="U33" i="4" a="1"/>
  <c r="U33" i="4" s="1"/>
  <c r="Z33" i="4" s="1"/>
  <c r="U34" i="4" a="1"/>
  <c r="U34" i="4" s="1"/>
  <c r="Z34" i="4" s="1"/>
  <c r="U36" i="4" a="1"/>
  <c r="U36" i="4" s="1"/>
  <c r="Z36" i="4" s="1"/>
  <c r="U37" i="4" a="1"/>
  <c r="U37" i="4" s="1"/>
  <c r="Z37" i="4" s="1"/>
  <c r="AF37" i="4" s="1"/>
  <c r="U38" i="4" a="1"/>
  <c r="U38" i="4" s="1"/>
  <c r="Z38" i="4" s="1"/>
  <c r="U39" i="4" a="1"/>
  <c r="U39" i="4" s="1"/>
  <c r="Z39" i="4" s="1"/>
  <c r="U40" i="4" a="1"/>
  <c r="U40" i="4" s="1"/>
  <c r="Z40" i="4" s="1"/>
  <c r="U41" i="4" a="1"/>
  <c r="U41" i="4" s="1"/>
  <c r="Z41" i="4" s="1"/>
  <c r="U42" i="4" a="1"/>
  <c r="U42" i="4" s="1"/>
  <c r="Z42" i="4" s="1"/>
  <c r="AF42" i="4" s="1"/>
  <c r="U43" i="4" a="1"/>
  <c r="U43" i="4" s="1"/>
  <c r="Z43" i="4" s="1"/>
  <c r="AF43" i="4" s="1"/>
  <c r="U44" i="4" a="1"/>
  <c r="U44" i="4" s="1"/>
  <c r="Z44" i="4" s="1"/>
  <c r="U45" i="4" a="1"/>
  <c r="U45" i="4" s="1"/>
  <c r="Z45" i="4" s="1"/>
  <c r="U46" i="4" a="1"/>
  <c r="U46" i="4" s="1"/>
  <c r="Z46" i="4" s="1"/>
  <c r="U47" i="4" a="1"/>
  <c r="U47" i="4" s="1"/>
  <c r="Z47" i="4" s="1"/>
  <c r="U48" i="4" a="1"/>
  <c r="U48" i="4" s="1"/>
  <c r="Z48" i="4" s="1"/>
  <c r="U49" i="4" a="1"/>
  <c r="U49" i="4" s="1"/>
  <c r="Z49" i="4" s="1"/>
  <c r="U50" i="4" a="1"/>
  <c r="U50" i="4" s="1"/>
  <c r="Z50" i="4" s="1"/>
  <c r="U51" i="4" a="1"/>
  <c r="U51" i="4" s="1"/>
  <c r="Z51" i="4" s="1"/>
  <c r="U52" i="4" a="1"/>
  <c r="U52" i="4" s="1"/>
  <c r="Z52" i="4" s="1"/>
  <c r="U53" i="4" a="1"/>
  <c r="U53" i="4" s="1"/>
  <c r="Z53" i="4" s="1"/>
  <c r="U54" i="4" a="1"/>
  <c r="U54" i="4" s="1"/>
  <c r="Z54" i="4" s="1"/>
  <c r="U55" i="4" a="1"/>
  <c r="U55" i="4" s="1"/>
  <c r="Z55" i="4" s="1"/>
  <c r="U56" i="4" a="1"/>
  <c r="U56" i="4" s="1"/>
  <c r="Z56" i="4" s="1"/>
  <c r="U57" i="4" a="1"/>
  <c r="U57" i="4" s="1"/>
  <c r="Z57" i="4" s="1"/>
  <c r="U58" i="4" a="1"/>
  <c r="U58" i="4" s="1"/>
  <c r="Z58" i="4" s="1"/>
  <c r="AF58" i="4" s="1"/>
  <c r="U59" i="4" a="1"/>
  <c r="U59" i="4" s="1"/>
  <c r="Z59" i="4" s="1"/>
  <c r="AF59" i="4" s="1"/>
  <c r="U60" i="4" a="1"/>
  <c r="U60" i="4" s="1"/>
  <c r="Z60" i="4" s="1"/>
  <c r="U61" i="4" a="1"/>
  <c r="U61" i="4" s="1"/>
  <c r="Z61" i="4" s="1"/>
  <c r="U62" i="4" a="1"/>
  <c r="U62" i="4" s="1"/>
  <c r="Z62" i="4" s="1"/>
  <c r="U63" i="4" a="1"/>
  <c r="U63" i="4" s="1"/>
  <c r="Z63" i="4" s="1"/>
  <c r="U64" i="4" a="1"/>
  <c r="U64" i="4" s="1"/>
  <c r="Z64" i="4" s="1"/>
  <c r="U6" i="4" a="1"/>
  <c r="U6" i="4" s="1"/>
  <c r="U7" i="4" a="1"/>
  <c r="U7" i="4" s="1"/>
  <c r="W8" i="4" a="1"/>
  <c r="W8" i="4" s="1"/>
  <c r="AB8" i="4" s="1"/>
  <c r="W9" i="4" a="1"/>
  <c r="W9" i="4" s="1"/>
  <c r="AB9" i="4" s="1"/>
  <c r="U10" i="4" a="1"/>
  <c r="U10" i="4" s="1"/>
  <c r="W11" i="4" a="1"/>
  <c r="W11" i="4" s="1"/>
  <c r="AB11" i="4" s="1"/>
  <c r="V12" i="4" a="1"/>
  <c r="V12" i="4" s="1"/>
  <c r="W35" i="4" a="1"/>
  <c r="W35" i="4" s="1"/>
  <c r="AB35" i="4" s="1"/>
  <c r="O6" i="8"/>
  <c r="A6" i="8"/>
  <c r="B6" i="8"/>
  <c r="H6" i="8"/>
  <c r="L6" i="8" s="1"/>
  <c r="J6" i="8"/>
  <c r="M6" i="8" s="1"/>
  <c r="W6" i="8"/>
  <c r="Z6" i="8" s="1"/>
  <c r="AF6" i="8"/>
  <c r="AI6" i="8" s="1"/>
  <c r="B3" i="17" a="1"/>
  <c r="B3" i="17" s="1"/>
  <c r="C3" i="17" a="1"/>
  <c r="C3" i="17" s="1"/>
  <c r="D3" i="17" a="1"/>
  <c r="D3" i="17" s="1"/>
  <c r="E3" i="17" a="1"/>
  <c r="E3" i="17" s="1"/>
  <c r="F3" i="17" a="1"/>
  <c r="F3" i="17" s="1"/>
  <c r="G3" i="17" a="1"/>
  <c r="G3" i="17" s="1"/>
  <c r="H3" i="17" a="1"/>
  <c r="H3" i="17" s="1"/>
  <c r="I3" i="17" a="1"/>
  <c r="I3" i="17" s="1"/>
  <c r="J3" i="17" a="1"/>
  <c r="J3" i="17" s="1"/>
  <c r="K3" i="17" a="1"/>
  <c r="K3" i="17" s="1"/>
  <c r="L3" i="17" a="1"/>
  <c r="L3" i="17" s="1"/>
  <c r="M3" i="17" a="1"/>
  <c r="M3" i="17" s="1"/>
  <c r="N3" i="17" a="1"/>
  <c r="N3" i="17" s="1"/>
  <c r="O3" i="17" a="1"/>
  <c r="O3" i="17" s="1"/>
  <c r="P3" i="17" a="1"/>
  <c r="P3" i="17" s="1"/>
  <c r="Q3" i="17" a="1"/>
  <c r="Q3" i="17" s="1"/>
  <c r="R3" i="17" a="1"/>
  <c r="R3" i="17" s="1"/>
  <c r="S3" i="17" a="1"/>
  <c r="S3" i="17" s="1"/>
  <c r="T3" i="17" a="1"/>
  <c r="T3" i="17" s="1"/>
  <c r="U3" i="17" a="1"/>
  <c r="U3" i="17" s="1"/>
  <c r="V3" i="17" a="1"/>
  <c r="V3" i="17" s="1"/>
  <c r="W3" i="17" a="1"/>
  <c r="W3" i="17" s="1"/>
  <c r="X3" i="17" a="1"/>
  <c r="X3" i="17" s="1"/>
  <c r="Y3" i="17" a="1"/>
  <c r="Y3" i="17" s="1"/>
  <c r="Z3" i="17" a="1"/>
  <c r="Z3" i="17" s="1"/>
  <c r="AA3" i="17" a="1"/>
  <c r="AA3" i="17" s="1"/>
  <c r="AB3" i="17" a="1"/>
  <c r="AB3" i="17" s="1"/>
  <c r="AC3" i="17" a="1"/>
  <c r="AC3" i="17" s="1"/>
  <c r="AD3" i="17" a="1"/>
  <c r="AD3" i="17" s="1"/>
  <c r="AE3" i="17" a="1"/>
  <c r="AE3" i="17" s="1"/>
  <c r="AF3" i="17" a="1"/>
  <c r="AF3" i="17" s="1"/>
  <c r="AG3" i="17" a="1"/>
  <c r="AG3" i="17" s="1"/>
  <c r="AH3" i="17" a="1"/>
  <c r="AH3" i="17" s="1"/>
  <c r="AI3" i="17" a="1"/>
  <c r="AI3" i="17" s="1"/>
  <c r="AJ3" i="17" a="1"/>
  <c r="AJ3" i="17" s="1"/>
  <c r="AK3" i="17" a="1"/>
  <c r="AK3" i="17" s="1"/>
  <c r="AL3" i="17" a="1"/>
  <c r="AL3" i="17" s="1"/>
  <c r="AM3" i="17" a="1"/>
  <c r="AM3" i="17" s="1"/>
  <c r="AN3" i="17" a="1"/>
  <c r="AN3" i="17" s="1"/>
  <c r="AO3" i="17" a="1"/>
  <c r="AO3" i="17" s="1"/>
  <c r="AP3" i="17" a="1"/>
  <c r="AP3" i="17" s="1"/>
  <c r="AQ3" i="17" a="1"/>
  <c r="AQ3" i="17" s="1"/>
  <c r="AR3" i="17" a="1"/>
  <c r="AR3" i="17" s="1"/>
  <c r="AS3" i="17" a="1"/>
  <c r="AS3" i="17" s="1"/>
  <c r="AT3" i="17" a="1"/>
  <c r="AT3" i="17" s="1"/>
  <c r="AU3" i="17" a="1"/>
  <c r="AU3" i="17" s="1"/>
  <c r="AV3" i="17" a="1"/>
  <c r="AV3" i="17" s="1"/>
  <c r="AW3" i="17" a="1"/>
  <c r="AW3" i="17" s="1"/>
  <c r="AX3" i="17" a="1"/>
  <c r="AX3" i="17" s="1"/>
  <c r="AY3" i="17" a="1"/>
  <c r="AY3" i="17" s="1"/>
  <c r="AZ3" i="17" a="1"/>
  <c r="AZ3" i="17" s="1"/>
  <c r="BA3" i="17" a="1"/>
  <c r="BA3" i="17" s="1"/>
  <c r="BB3" i="17" a="1"/>
  <c r="BB3" i="17" s="1"/>
  <c r="BC3" i="17" a="1"/>
  <c r="BC3" i="17" s="1"/>
  <c r="BD3" i="17" a="1"/>
  <c r="BD3" i="17" s="1"/>
  <c r="BE3" i="17" a="1"/>
  <c r="BE3" i="17" s="1"/>
  <c r="BF3" i="17" a="1"/>
  <c r="BF3" i="17" s="1"/>
  <c r="BG3" i="17" a="1"/>
  <c r="BG3" i="17" s="1"/>
  <c r="BH3" i="17" a="1"/>
  <c r="BH3" i="17" s="1"/>
  <c r="N6" i="8" l="1"/>
  <c r="Q6" i="8" s="1" a="1"/>
  <c r="Q6" i="8" s="1"/>
  <c r="R6" i="8" s="1"/>
  <c r="Z10" i="4"/>
  <c r="Z7" i="4"/>
  <c r="V7" i="4" a="1"/>
  <c r="V7" i="4" s="1"/>
  <c r="AA7" i="4" s="1"/>
  <c r="Z6" i="4"/>
  <c r="U12" i="4" a="1"/>
  <c r="U12" i="4" s="1"/>
  <c r="Z12" i="4" s="1"/>
  <c r="AF12" i="4" s="1"/>
  <c r="AA12" i="4"/>
  <c r="AE12" i="4" s="1"/>
  <c r="W12" i="4" a="1"/>
  <c r="W12" i="4" s="1"/>
  <c r="AB12" i="4" s="1"/>
  <c r="AI12" i="4" s="1"/>
  <c r="V11" i="4" a="1"/>
  <c r="V11" i="4" s="1"/>
  <c r="AA11" i="4" s="1"/>
  <c r="U11" i="4" a="1"/>
  <c r="U11" i="4" s="1"/>
  <c r="V9" i="4" a="1"/>
  <c r="V9" i="4" s="1"/>
  <c r="AA9" i="4" s="1"/>
  <c r="U9" i="4" a="1"/>
  <c r="U9" i="4" s="1"/>
  <c r="W7" i="4" a="1"/>
  <c r="W7" i="4" s="1"/>
  <c r="AB7" i="4" s="1"/>
  <c r="V6" i="4" a="1"/>
  <c r="V6" i="4" s="1"/>
  <c r="AA6" i="4" s="1"/>
  <c r="V8" i="4" a="1"/>
  <c r="V8" i="4" s="1"/>
  <c r="AA8" i="4" s="1"/>
  <c r="U8" i="4" a="1"/>
  <c r="U8" i="4" s="1"/>
  <c r="AH28" i="4"/>
  <c r="AH43" i="4"/>
  <c r="W6" i="4" a="1"/>
  <c r="W6" i="4" s="1"/>
  <c r="AB6" i="4" s="1"/>
  <c r="AH27" i="4"/>
  <c r="AD26" i="4"/>
  <c r="AH44" i="4"/>
  <c r="AG56" i="4"/>
  <c r="AH29" i="4"/>
  <c r="U35" i="4" a="1"/>
  <c r="U35" i="4" s="1"/>
  <c r="AH32" i="4"/>
  <c r="AG43" i="4"/>
  <c r="AD42" i="4"/>
  <c r="AD57" i="4"/>
  <c r="V35" i="4" a="1"/>
  <c r="V35" i="4" s="1"/>
  <c r="AA35" i="4" s="1"/>
  <c r="AE35" i="4" s="1"/>
  <c r="AC47" i="4"/>
  <c r="AH38" i="4"/>
  <c r="AC51" i="4"/>
  <c r="AH54" i="4"/>
  <c r="AG27" i="4"/>
  <c r="AG55" i="4"/>
  <c r="AD15" i="4"/>
  <c r="AI9" i="4"/>
  <c r="AH9" i="4"/>
  <c r="AD58" i="4"/>
  <c r="AH56" i="4"/>
  <c r="AE57" i="4"/>
  <c r="AE42" i="4"/>
  <c r="AH22" i="4"/>
  <c r="AI30" i="4"/>
  <c r="AG54" i="4"/>
  <c r="AI26" i="4"/>
  <c r="AC26" i="4"/>
  <c r="AH55" i="4"/>
  <c r="AI32" i="4"/>
  <c r="AD31" i="4"/>
  <c r="AF27" i="4"/>
  <c r="AC16" i="4"/>
  <c r="AH25" i="4"/>
  <c r="AH23" i="4"/>
  <c r="AC45" i="4"/>
  <c r="AC29" i="4"/>
  <c r="AD16" i="4"/>
  <c r="AG44" i="4"/>
  <c r="AC28" i="4"/>
  <c r="AG18" i="4"/>
  <c r="AG49" i="4"/>
  <c r="AH17" i="4"/>
  <c r="AD30" i="4"/>
  <c r="AH64" i="4"/>
  <c r="AD51" i="4"/>
  <c r="AH30" i="4"/>
  <c r="AH47" i="4"/>
  <c r="AC31" i="4"/>
  <c r="AH15" i="4"/>
  <c r="AH37" i="4"/>
  <c r="AH46" i="4"/>
  <c r="AH21" i="4"/>
  <c r="AC52" i="4"/>
  <c r="AH53" i="4"/>
  <c r="AE37" i="4"/>
  <c r="AD47" i="4"/>
  <c r="AH20" i="4"/>
  <c r="AG31" i="4"/>
  <c r="AG64" i="4"/>
  <c r="AG32" i="4"/>
  <c r="AG17" i="4"/>
  <c r="AH14" i="4"/>
  <c r="AH19" i="4"/>
  <c r="AG47" i="4"/>
  <c r="AG19" i="4"/>
  <c r="AE21" i="4"/>
  <c r="AG53" i="4"/>
  <c r="AC20" i="4"/>
  <c r="AC15" i="4"/>
  <c r="AF64" i="4"/>
  <c r="AF19" i="4"/>
  <c r="AF47" i="4"/>
  <c r="AG15" i="4"/>
  <c r="AD45" i="4"/>
  <c r="AG14" i="4"/>
  <c r="AI20" i="4"/>
  <c r="AC17" i="4"/>
  <c r="AD28" i="4"/>
  <c r="AG29" i="4"/>
  <c r="AI35" i="4"/>
  <c r="AI19" i="4"/>
  <c r="AC18" i="4"/>
  <c r="AC64" i="4"/>
  <c r="AC32" i="4"/>
  <c r="AD59" i="4"/>
  <c r="AD43" i="4"/>
  <c r="AD27" i="4"/>
  <c r="AF17" i="4"/>
  <c r="AG28" i="4"/>
  <c r="AI50" i="4"/>
  <c r="AD25" i="4"/>
  <c r="AC59" i="4"/>
  <c r="AC43" i="4"/>
  <c r="AC27" i="4"/>
  <c r="AD22" i="4"/>
  <c r="AE17" i="4"/>
  <c r="AF28" i="4"/>
  <c r="AH18" i="4"/>
  <c r="AC14" i="4"/>
  <c r="AG25" i="4"/>
  <c r="AD23" i="4"/>
  <c r="AF29" i="4"/>
  <c r="AC58" i="4"/>
  <c r="AC42" i="4"/>
  <c r="AD37" i="4"/>
  <c r="AD21" i="4"/>
  <c r="AE64" i="4"/>
  <c r="AE32" i="4"/>
  <c r="AG22" i="4"/>
  <c r="AG24" i="4"/>
  <c r="AC57" i="4"/>
  <c r="AC25" i="4"/>
  <c r="AD52" i="4"/>
  <c r="AD20" i="4"/>
  <c r="AE47" i="4"/>
  <c r="AE31" i="4"/>
  <c r="AE15" i="4"/>
  <c r="AG37" i="4"/>
  <c r="AG21" i="4"/>
  <c r="AH16" i="4"/>
  <c r="AC24" i="4"/>
  <c r="AD19" i="4"/>
  <c r="AE14" i="4"/>
  <c r="AF57" i="4"/>
  <c r="AG20" i="4"/>
  <c r="AH31" i="4"/>
  <c r="AD24" i="4"/>
  <c r="AD18" i="4"/>
  <c r="AE29" i="4"/>
  <c r="AD29" i="4"/>
  <c r="AC22" i="4"/>
  <c r="AD17" i="4"/>
  <c r="AE28" i="4"/>
  <c r="AC37" i="4"/>
  <c r="AC21" i="4"/>
  <c r="AD64" i="4"/>
  <c r="AD32" i="4"/>
  <c r="AE43" i="4"/>
  <c r="AE27" i="4"/>
  <c r="V10" i="4" a="1"/>
  <c r="V10" i="4" s="1"/>
  <c r="AA10" i="4" s="1"/>
  <c r="W10" i="4" a="1"/>
  <c r="W10" i="4" s="1"/>
  <c r="AB10" i="4" s="1"/>
  <c r="AH10" i="4" s="1"/>
  <c r="B3" i="16" a="1"/>
  <c r="B3" i="16" s="1"/>
  <c r="C3" i="16" a="1"/>
  <c r="C3" i="16" s="1"/>
  <c r="D3" i="16" a="1"/>
  <c r="D3" i="16" s="1"/>
  <c r="E3" i="16" a="1"/>
  <c r="E3" i="16" s="1"/>
  <c r="F3" i="16" a="1"/>
  <c r="F3" i="16" s="1"/>
  <c r="G3" i="16" a="1"/>
  <c r="G3" i="16" s="1"/>
  <c r="H3" i="16" a="1"/>
  <c r="H3" i="16" s="1"/>
  <c r="I3" i="16" a="1"/>
  <c r="I3" i="16" s="1"/>
  <c r="J3" i="16" a="1"/>
  <c r="J3" i="16" s="1"/>
  <c r="K3" i="16" a="1"/>
  <c r="K3" i="16" s="1"/>
  <c r="L3" i="16" a="1"/>
  <c r="L3" i="16" s="1"/>
  <c r="M3" i="16" a="1"/>
  <c r="M3" i="16" s="1"/>
  <c r="N3" i="16" a="1"/>
  <c r="N3" i="16" s="1"/>
  <c r="O3" i="16" a="1"/>
  <c r="O3" i="16" s="1"/>
  <c r="P3" i="16" a="1"/>
  <c r="P3" i="16" s="1"/>
  <c r="Q3" i="16" a="1"/>
  <c r="Q3" i="16" s="1"/>
  <c r="R3" i="16" a="1"/>
  <c r="R3" i="16" s="1"/>
  <c r="S3" i="16" a="1"/>
  <c r="S3" i="16" s="1"/>
  <c r="T3" i="16" a="1"/>
  <c r="T3" i="16" s="1"/>
  <c r="U3" i="16" a="1"/>
  <c r="U3" i="16" s="1"/>
  <c r="V3" i="16" a="1"/>
  <c r="V3" i="16" s="1"/>
  <c r="W3" i="16" a="1"/>
  <c r="W3" i="16" s="1"/>
  <c r="X3" i="16" a="1"/>
  <c r="X3" i="16" s="1"/>
  <c r="Y3" i="16" a="1"/>
  <c r="Y3" i="16" s="1"/>
  <c r="Z3" i="16" a="1"/>
  <c r="Z3" i="16" s="1"/>
  <c r="AA3" i="16" a="1"/>
  <c r="AA3" i="16" s="1"/>
  <c r="AB3" i="16" a="1"/>
  <c r="AB3" i="16" s="1"/>
  <c r="AC3" i="16" a="1"/>
  <c r="AC3" i="16" s="1"/>
  <c r="AD3" i="16" a="1"/>
  <c r="AD3" i="16" s="1"/>
  <c r="AE3" i="16" a="1"/>
  <c r="AE3" i="16" s="1"/>
  <c r="AF3" i="16" a="1"/>
  <c r="AF3" i="16" s="1"/>
  <c r="AG3" i="16" a="1"/>
  <c r="AG3" i="16" s="1"/>
  <c r="AH3" i="16" a="1"/>
  <c r="AH3" i="16" s="1"/>
  <c r="AI3" i="16" a="1"/>
  <c r="AI3" i="16" s="1"/>
  <c r="AJ3" i="16" a="1"/>
  <c r="AJ3" i="16" s="1"/>
  <c r="AK3" i="16" a="1"/>
  <c r="AK3" i="16" s="1"/>
  <c r="AL3" i="16" a="1"/>
  <c r="AL3" i="16" s="1"/>
  <c r="AM3" i="16" a="1"/>
  <c r="AM3" i="16" s="1"/>
  <c r="AN3" i="16" a="1"/>
  <c r="AN3" i="16" s="1"/>
  <c r="AO3" i="16" a="1"/>
  <c r="AO3" i="16" s="1"/>
  <c r="AP3" i="16" a="1"/>
  <c r="AP3" i="16" s="1"/>
  <c r="AQ3" i="16" a="1"/>
  <c r="AQ3" i="16" s="1"/>
  <c r="AR3" i="16" a="1"/>
  <c r="AR3" i="16" s="1"/>
  <c r="AS3" i="16" a="1"/>
  <c r="AS3" i="16" s="1"/>
  <c r="AT3" i="16" a="1"/>
  <c r="AT3" i="16" s="1"/>
  <c r="AU3" i="16" a="1"/>
  <c r="AU3" i="16" s="1"/>
  <c r="AV3" i="16" a="1"/>
  <c r="AV3" i="16" s="1"/>
  <c r="AW3" i="16" a="1"/>
  <c r="AW3" i="16" s="1"/>
  <c r="AX3" i="16" a="1"/>
  <c r="AX3" i="16" s="1"/>
  <c r="AY3" i="16" a="1"/>
  <c r="AY3" i="16" s="1"/>
  <c r="AZ3" i="16" a="1"/>
  <c r="AZ3" i="16" s="1"/>
  <c r="BA3" i="16" a="1"/>
  <c r="BA3" i="16" s="1"/>
  <c r="BB3" i="16" a="1"/>
  <c r="BB3" i="16" s="1"/>
  <c r="BC3" i="16" a="1"/>
  <c r="BC3" i="16" s="1"/>
  <c r="BD3" i="16" a="1"/>
  <c r="BD3" i="16" s="1"/>
  <c r="BE3" i="16" a="1"/>
  <c r="BE3" i="16" s="1"/>
  <c r="BF3" i="16" a="1"/>
  <c r="BF3" i="16" s="1"/>
  <c r="BG3" i="16" a="1"/>
  <c r="BG3" i="16" s="1"/>
  <c r="BH3" i="16" a="1"/>
  <c r="BH3" i="16" s="1"/>
  <c r="A3" i="16" a="1"/>
  <c r="A3" i="16" s="1"/>
  <c r="B3" i="19" a="1"/>
  <c r="B3" i="19" s="1"/>
  <c r="C3" i="19" a="1"/>
  <c r="C3" i="19" s="1"/>
  <c r="D3" i="19" a="1"/>
  <c r="D3" i="19" s="1"/>
  <c r="E3" i="19" a="1"/>
  <c r="E3" i="19" s="1"/>
  <c r="F3" i="19" a="1"/>
  <c r="F3" i="19" s="1"/>
  <c r="G3" i="19" a="1"/>
  <c r="G3" i="19" s="1"/>
  <c r="H3" i="19" a="1"/>
  <c r="H3" i="19" s="1"/>
  <c r="I3" i="19" a="1"/>
  <c r="I3" i="19" s="1"/>
  <c r="J3" i="19" a="1"/>
  <c r="J3" i="19" s="1"/>
  <c r="K3" i="19" a="1"/>
  <c r="K3" i="19" s="1"/>
  <c r="L3" i="19" a="1"/>
  <c r="L3" i="19" s="1"/>
  <c r="M3" i="19" a="1"/>
  <c r="M3" i="19" s="1"/>
  <c r="N3" i="19" a="1"/>
  <c r="N3" i="19" s="1"/>
  <c r="O3" i="19" a="1"/>
  <c r="O3" i="19" s="1"/>
  <c r="P3" i="19" a="1"/>
  <c r="P3" i="19" s="1"/>
  <c r="Q3" i="19" a="1"/>
  <c r="Q3" i="19" s="1"/>
  <c r="R3" i="19" a="1"/>
  <c r="R3" i="19" s="1"/>
  <c r="S3" i="19" a="1"/>
  <c r="S3" i="19" s="1"/>
  <c r="T3" i="19" a="1"/>
  <c r="T3" i="19" s="1"/>
  <c r="U3" i="19" a="1"/>
  <c r="U3" i="19" s="1"/>
  <c r="V3" i="19" a="1"/>
  <c r="V3" i="19" s="1"/>
  <c r="W3" i="19" a="1"/>
  <c r="W3" i="19" s="1"/>
  <c r="X3" i="19" a="1"/>
  <c r="X3" i="19" s="1"/>
  <c r="Y3" i="19" a="1"/>
  <c r="Y3" i="19" s="1"/>
  <c r="Z3" i="19" a="1"/>
  <c r="Z3" i="19" s="1"/>
  <c r="AA3" i="19" a="1"/>
  <c r="AA3" i="19" s="1"/>
  <c r="AB3" i="19" a="1"/>
  <c r="AB3" i="19" s="1"/>
  <c r="AC3" i="19" a="1"/>
  <c r="AC3" i="19" s="1"/>
  <c r="AD3" i="19" a="1"/>
  <c r="AD3" i="19" s="1"/>
  <c r="AE3" i="19" a="1"/>
  <c r="AE3" i="19" s="1"/>
  <c r="AF3" i="19" a="1"/>
  <c r="AF3" i="19" s="1"/>
  <c r="AG3" i="19" a="1"/>
  <c r="AG3" i="19" s="1"/>
  <c r="AH3" i="19" a="1"/>
  <c r="AH3" i="19" s="1"/>
  <c r="AI3" i="19" a="1"/>
  <c r="AI3" i="19" s="1"/>
  <c r="AJ3" i="19" a="1"/>
  <c r="AJ3" i="19" s="1"/>
  <c r="AK3" i="19" a="1"/>
  <c r="AK3" i="19" s="1"/>
  <c r="AL3" i="19" a="1"/>
  <c r="AL3" i="19" s="1"/>
  <c r="AM3" i="19" a="1"/>
  <c r="AM3" i="19" s="1"/>
  <c r="AN3" i="19" a="1"/>
  <c r="AN3" i="19" s="1"/>
  <c r="AO3" i="19" a="1"/>
  <c r="AO3" i="19" s="1"/>
  <c r="AP3" i="19" a="1"/>
  <c r="AP3" i="19" s="1"/>
  <c r="AQ3" i="19" a="1"/>
  <c r="AQ3" i="19" s="1"/>
  <c r="AR3" i="19" a="1"/>
  <c r="AR3" i="19" s="1"/>
  <c r="AS3" i="19" a="1"/>
  <c r="AS3" i="19" s="1"/>
  <c r="AT3" i="19" a="1"/>
  <c r="AT3" i="19" s="1"/>
  <c r="AU3" i="19" a="1"/>
  <c r="AU3" i="19" s="1"/>
  <c r="AV3" i="19" a="1"/>
  <c r="AV3" i="19" s="1"/>
  <c r="AW3" i="19" a="1"/>
  <c r="AW3" i="19" s="1"/>
  <c r="AX3" i="19" a="1"/>
  <c r="AX3" i="19" s="1"/>
  <c r="AY3" i="19" a="1"/>
  <c r="AY3" i="19" s="1"/>
  <c r="AZ3" i="19" a="1"/>
  <c r="AZ3" i="19" s="1"/>
  <c r="BA3" i="19" a="1"/>
  <c r="BA3" i="19" s="1"/>
  <c r="BB3" i="19" a="1"/>
  <c r="BB3" i="19" s="1"/>
  <c r="BC3" i="19" a="1"/>
  <c r="BC3" i="19" s="1"/>
  <c r="BD3" i="19" a="1"/>
  <c r="BD3" i="19" s="1"/>
  <c r="BE3" i="19" a="1"/>
  <c r="BE3" i="19" s="1"/>
  <c r="BF3" i="19" a="1"/>
  <c r="BF3" i="19" s="1"/>
  <c r="BG3" i="19" a="1"/>
  <c r="BG3" i="19" s="1"/>
  <c r="A3" i="19" a="1"/>
  <c r="A3" i="19" s="1"/>
  <c r="A2" i="19" a="1"/>
  <c r="A2" i="19" s="1"/>
  <c r="I2" i="19"/>
  <c r="J2" i="19"/>
  <c r="K2" i="19"/>
  <c r="L2" i="19"/>
  <c r="M2" i="19"/>
  <c r="N2" i="19"/>
  <c r="O2" i="19"/>
  <c r="P2" i="19"/>
  <c r="Y2" i="19"/>
  <c r="Z2" i="19"/>
  <c r="AA2" i="19"/>
  <c r="AB2" i="19"/>
  <c r="AC2" i="19"/>
  <c r="AD2" i="19"/>
  <c r="AE2" i="19"/>
  <c r="AF2" i="19"/>
  <c r="AO2" i="19"/>
  <c r="AP2" i="19"/>
  <c r="AQ2" i="19"/>
  <c r="AR2" i="19"/>
  <c r="AS2" i="19"/>
  <c r="AT2" i="19"/>
  <c r="AU2" i="19"/>
  <c r="AV2" i="19"/>
  <c r="BE2" i="19"/>
  <c r="BF2" i="19"/>
  <c r="BG2" i="19"/>
  <c r="BH2" i="19"/>
  <c r="Q5" i="5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J7" i="8"/>
  <c r="M7" i="8" s="1"/>
  <c r="J8" i="8"/>
  <c r="M8" i="8" s="1"/>
  <c r="J9" i="8"/>
  <c r="M9" i="8" s="1"/>
  <c r="J10" i="8"/>
  <c r="M10" i="8" s="1"/>
  <c r="J11" i="8"/>
  <c r="M11" i="8" s="1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23" i="8"/>
  <c r="M23" i="8" s="1"/>
  <c r="J24" i="8"/>
  <c r="M24" i="8" s="1"/>
  <c r="J25" i="8"/>
  <c r="M25" i="8" s="1"/>
  <c r="J26" i="8"/>
  <c r="M26" i="8" s="1"/>
  <c r="J27" i="8"/>
  <c r="M27" i="8" s="1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42" i="8"/>
  <c r="M42" i="8" s="1"/>
  <c r="J43" i="8"/>
  <c r="M43" i="8" s="1"/>
  <c r="J44" i="8"/>
  <c r="M44" i="8" s="1"/>
  <c r="J45" i="8"/>
  <c r="M45" i="8" s="1"/>
  <c r="J46" i="8"/>
  <c r="M46" i="8" s="1"/>
  <c r="J47" i="8"/>
  <c r="M47" i="8" s="1"/>
  <c r="J48" i="8"/>
  <c r="M48" i="8" s="1"/>
  <c r="J49" i="8"/>
  <c r="M49" i="8" s="1"/>
  <c r="J50" i="8"/>
  <c r="M50" i="8" s="1"/>
  <c r="J51" i="8"/>
  <c r="M51" i="8" s="1"/>
  <c r="J52" i="8"/>
  <c r="M52" i="8" s="1"/>
  <c r="J53" i="8"/>
  <c r="M53" i="8" s="1"/>
  <c r="J54" i="8"/>
  <c r="M54" i="8" s="1"/>
  <c r="J55" i="8"/>
  <c r="M55" i="8" s="1"/>
  <c r="J56" i="8"/>
  <c r="M56" i="8" s="1"/>
  <c r="J57" i="8"/>
  <c r="M57" i="8" s="1"/>
  <c r="J58" i="8"/>
  <c r="M58" i="8" s="1"/>
  <c r="J59" i="8"/>
  <c r="M59" i="8" s="1"/>
  <c r="J60" i="8"/>
  <c r="M60" i="8" s="1"/>
  <c r="J61" i="8"/>
  <c r="M61" i="8" s="1"/>
  <c r="J62" i="8"/>
  <c r="M62" i="8" s="1"/>
  <c r="J63" i="8"/>
  <c r="M63" i="8" s="1"/>
  <c r="J64" i="8"/>
  <c r="M64" i="8" s="1"/>
  <c r="H7" i="8"/>
  <c r="L7" i="8" s="1"/>
  <c r="H8" i="8"/>
  <c r="L8" i="8" s="1"/>
  <c r="H9" i="8"/>
  <c r="L9" i="8" s="1"/>
  <c r="H10" i="8"/>
  <c r="L10" i="8" s="1"/>
  <c r="H11" i="8"/>
  <c r="L11" i="8" s="1"/>
  <c r="H12" i="8"/>
  <c r="L12" i="8" s="1"/>
  <c r="H13" i="8"/>
  <c r="L13" i="8" s="1"/>
  <c r="H14" i="8"/>
  <c r="L14" i="8" s="1"/>
  <c r="H15" i="8"/>
  <c r="L15" i="8" s="1"/>
  <c r="H16" i="8"/>
  <c r="L16" i="8" s="1"/>
  <c r="H17" i="8"/>
  <c r="L17" i="8" s="1"/>
  <c r="H18" i="8"/>
  <c r="L18" i="8" s="1"/>
  <c r="H19" i="8"/>
  <c r="L19" i="8" s="1"/>
  <c r="H20" i="8"/>
  <c r="L20" i="8" s="1"/>
  <c r="H21" i="8"/>
  <c r="L21" i="8" s="1"/>
  <c r="H22" i="8"/>
  <c r="L22" i="8" s="1"/>
  <c r="H23" i="8"/>
  <c r="L23" i="8" s="1"/>
  <c r="H24" i="8"/>
  <c r="L24" i="8" s="1"/>
  <c r="H25" i="8"/>
  <c r="L25" i="8" s="1"/>
  <c r="H26" i="8"/>
  <c r="L26" i="8" s="1"/>
  <c r="H27" i="8"/>
  <c r="L27" i="8" s="1"/>
  <c r="H28" i="8"/>
  <c r="L28" i="8" s="1"/>
  <c r="H29" i="8"/>
  <c r="L29" i="8" s="1"/>
  <c r="H30" i="8"/>
  <c r="L30" i="8" s="1"/>
  <c r="H31" i="8"/>
  <c r="L31" i="8" s="1"/>
  <c r="H32" i="8"/>
  <c r="L32" i="8" s="1"/>
  <c r="H33" i="8"/>
  <c r="L33" i="8" s="1"/>
  <c r="H34" i="8"/>
  <c r="L34" i="8" s="1"/>
  <c r="H35" i="8"/>
  <c r="L35" i="8" s="1"/>
  <c r="H36" i="8"/>
  <c r="L36" i="8" s="1"/>
  <c r="H37" i="8"/>
  <c r="L37" i="8" s="1"/>
  <c r="H38" i="8"/>
  <c r="L38" i="8" s="1"/>
  <c r="H39" i="8"/>
  <c r="L39" i="8" s="1"/>
  <c r="H40" i="8"/>
  <c r="L40" i="8" s="1"/>
  <c r="H41" i="8"/>
  <c r="L41" i="8" s="1"/>
  <c r="H42" i="8"/>
  <c r="L42" i="8" s="1"/>
  <c r="H43" i="8"/>
  <c r="L43" i="8" s="1"/>
  <c r="H44" i="8"/>
  <c r="L44" i="8" s="1"/>
  <c r="H45" i="8"/>
  <c r="L45" i="8" s="1"/>
  <c r="H46" i="8"/>
  <c r="L46" i="8" s="1"/>
  <c r="H47" i="8"/>
  <c r="L47" i="8" s="1"/>
  <c r="H48" i="8"/>
  <c r="L48" i="8" s="1"/>
  <c r="H49" i="8"/>
  <c r="L49" i="8" s="1"/>
  <c r="H50" i="8"/>
  <c r="L50" i="8" s="1"/>
  <c r="H51" i="8"/>
  <c r="L51" i="8" s="1"/>
  <c r="H52" i="8"/>
  <c r="L52" i="8" s="1"/>
  <c r="H53" i="8"/>
  <c r="L53" i="8" s="1"/>
  <c r="H54" i="8"/>
  <c r="L54" i="8" s="1"/>
  <c r="H55" i="8"/>
  <c r="L55" i="8" s="1"/>
  <c r="H56" i="8"/>
  <c r="L56" i="8" s="1"/>
  <c r="H57" i="8"/>
  <c r="L57" i="8" s="1"/>
  <c r="H58" i="8"/>
  <c r="L58" i="8" s="1"/>
  <c r="H59" i="8"/>
  <c r="L59" i="8" s="1"/>
  <c r="H60" i="8"/>
  <c r="L60" i="8" s="1"/>
  <c r="H61" i="8"/>
  <c r="L61" i="8" s="1"/>
  <c r="H62" i="8"/>
  <c r="L62" i="8" s="1"/>
  <c r="H63" i="8"/>
  <c r="L63" i="8" s="1"/>
  <c r="H64" i="8"/>
  <c r="L64" i="8" s="1"/>
  <c r="A2" i="17" a="1"/>
  <c r="A2" i="17" s="1"/>
  <c r="A2" i="16" a="1"/>
  <c r="A2" i="16" s="1"/>
  <c r="H2" i="16"/>
  <c r="I2" i="16"/>
  <c r="J2" i="16"/>
  <c r="K2" i="16"/>
  <c r="L2" i="16"/>
  <c r="M2" i="16"/>
  <c r="N2" i="16"/>
  <c r="O2" i="16"/>
  <c r="P2" i="16"/>
  <c r="X2" i="16"/>
  <c r="AE2" i="16"/>
  <c r="AF2" i="16"/>
  <c r="AN2" i="16"/>
  <c r="AO2" i="16"/>
  <c r="AP2" i="16"/>
  <c r="AQ2" i="16"/>
  <c r="AR2" i="16"/>
  <c r="AS2" i="16"/>
  <c r="AT2" i="16"/>
  <c r="AU2" i="16"/>
  <c r="BH3" i="19" a="1"/>
  <c r="BH3" i="19" s="1"/>
  <c r="N51" i="8" l="1"/>
  <c r="N43" i="8"/>
  <c r="N27" i="8"/>
  <c r="N19" i="8"/>
  <c r="N11" i="8"/>
  <c r="N59" i="8"/>
  <c r="N35" i="8"/>
  <c r="N62" i="8"/>
  <c r="N54" i="8"/>
  <c r="N46" i="8"/>
  <c r="N38" i="8"/>
  <c r="N30" i="8"/>
  <c r="N22" i="8"/>
  <c r="N14" i="8"/>
  <c r="N63" i="8"/>
  <c r="N55" i="8"/>
  <c r="N47" i="8"/>
  <c r="N39" i="8"/>
  <c r="N31" i="8"/>
  <c r="N23" i="8"/>
  <c r="N15" i="8"/>
  <c r="N60" i="8"/>
  <c r="N61" i="8"/>
  <c r="N45" i="8"/>
  <c r="N57" i="8"/>
  <c r="N49" i="8"/>
  <c r="N41" i="8"/>
  <c r="N33" i="8"/>
  <c r="N25" i="8"/>
  <c r="N17" i="8"/>
  <c r="N9" i="8"/>
  <c r="N53" i="8"/>
  <c r="N37" i="8"/>
  <c r="N29" i="8"/>
  <c r="N21" i="8"/>
  <c r="N13" i="8"/>
  <c r="N52" i="8"/>
  <c r="N44" i="8"/>
  <c r="N36" i="8"/>
  <c r="N28" i="8"/>
  <c r="N20" i="8"/>
  <c r="N12" i="8"/>
  <c r="N64" i="8"/>
  <c r="N48" i="8"/>
  <c r="N40" i="8"/>
  <c r="N32" i="8"/>
  <c r="N24" i="8"/>
  <c r="N16" i="8"/>
  <c r="N8" i="8"/>
  <c r="N56" i="8"/>
  <c r="N58" i="8"/>
  <c r="N50" i="8"/>
  <c r="N42" i="8"/>
  <c r="N34" i="8"/>
  <c r="N26" i="8"/>
  <c r="N18" i="8"/>
  <c r="N10" i="8"/>
  <c r="N7" i="8"/>
  <c r="N4" i="4"/>
  <c r="O4" i="4"/>
  <c r="P4" i="4"/>
  <c r="Z9" i="4"/>
  <c r="Z8" i="4"/>
  <c r="AC12" i="4"/>
  <c r="AH12" i="4"/>
  <c r="AG12" i="4"/>
  <c r="AD12" i="4"/>
  <c r="Z11" i="4"/>
  <c r="AI10" i="4"/>
  <c r="AH35" i="4"/>
  <c r="Z35" i="4"/>
  <c r="H2" i="19"/>
  <c r="G2" i="19"/>
  <c r="F2" i="19"/>
  <c r="U2" i="19"/>
  <c r="E2" i="19"/>
  <c r="AZ2" i="19"/>
  <c r="AJ2" i="19"/>
  <c r="T2" i="19"/>
  <c r="D2" i="19"/>
  <c r="BD2" i="19"/>
  <c r="BC2" i="19"/>
  <c r="BB2" i="19"/>
  <c r="BA2" i="19"/>
  <c r="AY2" i="19"/>
  <c r="AI2" i="19"/>
  <c r="S2" i="19"/>
  <c r="C2" i="19"/>
  <c r="AN2" i="19"/>
  <c r="AM2" i="19"/>
  <c r="AL2" i="19"/>
  <c r="AK2" i="19"/>
  <c r="AX2" i="19"/>
  <c r="AH2" i="19"/>
  <c r="R2" i="19"/>
  <c r="B2" i="19"/>
  <c r="X2" i="19"/>
  <c r="W2" i="19"/>
  <c r="V2" i="19"/>
  <c r="AW2" i="19"/>
  <c r="AG2" i="19"/>
  <c r="Q2" i="19"/>
  <c r="BG2" i="16"/>
  <c r="AC2" i="16"/>
  <c r="BF2" i="16"/>
  <c r="AB2" i="16"/>
  <c r="BH2" i="16"/>
  <c r="AD2" i="16"/>
  <c r="BE2" i="16"/>
  <c r="AA2" i="16"/>
  <c r="BD2" i="16"/>
  <c r="Z2" i="16"/>
  <c r="AV2" i="16"/>
  <c r="Y2" i="16"/>
  <c r="B7" i="19" a="1"/>
  <c r="B39" i="19" s="1"/>
  <c r="B7" i="16" a="1"/>
  <c r="B57" i="16" s="1"/>
  <c r="AV2" i="17"/>
  <c r="P2" i="17"/>
  <c r="O2" i="17"/>
  <c r="N2" i="17"/>
  <c r="M2" i="17"/>
  <c r="AR2" i="17"/>
  <c r="L2" i="17"/>
  <c r="BG2" i="17"/>
  <c r="AQ2" i="17"/>
  <c r="K2" i="17"/>
  <c r="BF2" i="17"/>
  <c r="AP2" i="17"/>
  <c r="J2" i="17"/>
  <c r="BE2" i="17"/>
  <c r="AO2" i="17"/>
  <c r="Y2" i="17"/>
  <c r="I2" i="17"/>
  <c r="BD2" i="17"/>
  <c r="AN2" i="17"/>
  <c r="X2" i="17"/>
  <c r="H2" i="17"/>
  <c r="BC2" i="17"/>
  <c r="AM2" i="17"/>
  <c r="W2" i="17"/>
  <c r="G2" i="17"/>
  <c r="BB2" i="17"/>
  <c r="AL2" i="17"/>
  <c r="V2" i="17"/>
  <c r="F2" i="17"/>
  <c r="AF2" i="17"/>
  <c r="AU2" i="17"/>
  <c r="AE2" i="17"/>
  <c r="AT2" i="17"/>
  <c r="AD2" i="17"/>
  <c r="AS2" i="17"/>
  <c r="AC2" i="17"/>
  <c r="BH2" i="17"/>
  <c r="AB2" i="17"/>
  <c r="AA2" i="17"/>
  <c r="Z2" i="17"/>
  <c r="BA2" i="17"/>
  <c r="AK2" i="17"/>
  <c r="U2" i="17"/>
  <c r="E2" i="17"/>
  <c r="AZ2" i="17"/>
  <c r="AJ2" i="17"/>
  <c r="T2" i="17"/>
  <c r="D2" i="17"/>
  <c r="AY2" i="17"/>
  <c r="AI2" i="17"/>
  <c r="S2" i="17"/>
  <c r="C2" i="17"/>
  <c r="AX2" i="17"/>
  <c r="AH2" i="17"/>
  <c r="R2" i="17"/>
  <c r="B2" i="17"/>
  <c r="AW2" i="17"/>
  <c r="AG2" i="17"/>
  <c r="Q2" i="17"/>
  <c r="BC2" i="16"/>
  <c r="AM2" i="16"/>
  <c r="W2" i="16"/>
  <c r="G2" i="16"/>
  <c r="BB2" i="16"/>
  <c r="AL2" i="16"/>
  <c r="V2" i="16"/>
  <c r="F2" i="16"/>
  <c r="BA2" i="16"/>
  <c r="E2" i="16"/>
  <c r="AZ2" i="16"/>
  <c r="AJ2" i="16"/>
  <c r="T2" i="16"/>
  <c r="D2" i="16"/>
  <c r="AK2" i="16"/>
  <c r="U2" i="16"/>
  <c r="AY2" i="16"/>
  <c r="AI2" i="16"/>
  <c r="S2" i="16"/>
  <c r="C2" i="16"/>
  <c r="AX2" i="16"/>
  <c r="AH2" i="16"/>
  <c r="R2" i="16"/>
  <c r="B2" i="16"/>
  <c r="AW2" i="16"/>
  <c r="AG2" i="16"/>
  <c r="Q2" i="16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L10" i="18"/>
  <c r="L11" i="18"/>
  <c r="L12" i="18"/>
  <c r="L13" i="18"/>
  <c r="K10" i="18"/>
  <c r="K11" i="18"/>
  <c r="K12" i="18"/>
  <c r="K13" i="18"/>
  <c r="I11" i="18"/>
  <c r="I12" i="18"/>
  <c r="I13" i="18"/>
  <c r="I14" i="18"/>
  <c r="I10" i="18"/>
  <c r="H10" i="18"/>
  <c r="H11" i="18"/>
  <c r="H12" i="18"/>
  <c r="H13" i="18"/>
  <c r="H14" i="18"/>
  <c r="A53" i="8"/>
  <c r="W53" i="8"/>
  <c r="Z53" i="8"/>
  <c r="AF53" i="8"/>
  <c r="AI53" i="8"/>
  <c r="A54" i="8"/>
  <c r="W54" i="8"/>
  <c r="Z54" i="8"/>
  <c r="AF54" i="8"/>
  <c r="AI54" i="8"/>
  <c r="A55" i="8"/>
  <c r="W55" i="8"/>
  <c r="Z55" i="8"/>
  <c r="AF55" i="8"/>
  <c r="AI55" i="8"/>
  <c r="A56" i="8"/>
  <c r="W56" i="8"/>
  <c r="Z56" i="8"/>
  <c r="AF56" i="8"/>
  <c r="AI56" i="8"/>
  <c r="A57" i="8"/>
  <c r="W57" i="8"/>
  <c r="Z57" i="8"/>
  <c r="AF57" i="8"/>
  <c r="AI57" i="8"/>
  <c r="A58" i="8"/>
  <c r="W58" i="8"/>
  <c r="Z58" i="8"/>
  <c r="AF58" i="8"/>
  <c r="AI58" i="8"/>
  <c r="A59" i="8"/>
  <c r="W59" i="8"/>
  <c r="Z59" i="8"/>
  <c r="AF59" i="8"/>
  <c r="AI59" i="8"/>
  <c r="A60" i="8"/>
  <c r="W60" i="8"/>
  <c r="Z60" i="8"/>
  <c r="AF60" i="8"/>
  <c r="AI60" i="8"/>
  <c r="A61" i="8"/>
  <c r="W61" i="8"/>
  <c r="Z61" i="8"/>
  <c r="AF61" i="8"/>
  <c r="AI61" i="8"/>
  <c r="A62" i="8"/>
  <c r="W62" i="8"/>
  <c r="Z62" i="8"/>
  <c r="AF62" i="8"/>
  <c r="AI62" i="8"/>
  <c r="A63" i="8"/>
  <c r="W63" i="8"/>
  <c r="Z63" i="8"/>
  <c r="AF63" i="8"/>
  <c r="AI63" i="8"/>
  <c r="A64" i="8"/>
  <c r="W64" i="8"/>
  <c r="Z64" i="8"/>
  <c r="AF64" i="8"/>
  <c r="AI64" i="8"/>
  <c r="Q6" i="5"/>
  <c r="Q7" i="5"/>
  <c r="Q8" i="5"/>
  <c r="Q9" i="5"/>
  <c r="Q10" i="5"/>
  <c r="Q11" i="5"/>
  <c r="Q36" i="8" l="1" a="1"/>
  <c r="Q36" i="8" s="1"/>
  <c r="R36" i="8" s="1"/>
  <c r="Q20" i="8" a="1"/>
  <c r="Q20" i="8" s="1"/>
  <c r="R20" i="8" s="1"/>
  <c r="Q52" i="8" a="1"/>
  <c r="Q52" i="8" s="1"/>
  <c r="R52" i="8" s="1"/>
  <c r="AG11" i="4"/>
  <c r="AC11" i="4"/>
  <c r="AF11" i="4"/>
  <c r="AD11" i="4"/>
  <c r="AF35" i="4"/>
  <c r="AD35" i="4"/>
  <c r="AC35" i="4"/>
  <c r="AG35" i="4"/>
  <c r="AH13" i="4"/>
  <c r="AE13" i="4"/>
  <c r="Q51" i="8" a="1"/>
  <c r="Q51" i="8" s="1"/>
  <c r="R51" i="8" s="1"/>
  <c r="Q39" i="8" a="1"/>
  <c r="Q39" i="8" s="1"/>
  <c r="R39" i="8" s="1"/>
  <c r="Q35" i="8" a="1"/>
  <c r="Q35" i="8" s="1"/>
  <c r="R35" i="8" s="1"/>
  <c r="Q15" i="8" a="1"/>
  <c r="Q15" i="8" s="1"/>
  <c r="R15" i="8" s="1"/>
  <c r="Q46" i="8" a="1"/>
  <c r="Q46" i="8" s="1"/>
  <c r="R46" i="8" s="1"/>
  <c r="Q45" i="8" a="1"/>
  <c r="Q45" i="8" s="1"/>
  <c r="R45" i="8" s="1"/>
  <c r="Q26" i="8" a="1"/>
  <c r="Q26" i="8" s="1"/>
  <c r="R26" i="8" s="1"/>
  <c r="Q34" i="8" a="1"/>
  <c r="Q34" i="8" s="1"/>
  <c r="R34" i="8" s="1"/>
  <c r="Q11" i="8" a="1"/>
  <c r="Q11" i="8" s="1"/>
  <c r="R11" i="8" s="1"/>
  <c r="Q63" i="8" a="1"/>
  <c r="Q63" i="8" s="1"/>
  <c r="R63" i="8" s="1"/>
  <c r="Q62" i="8" a="1"/>
  <c r="Q62" i="8" s="1"/>
  <c r="R62" i="8" s="1"/>
  <c r="Q30" i="8" a="1"/>
  <c r="Q30" i="8" s="1"/>
  <c r="R30" i="8" s="1"/>
  <c r="Q14" i="8" a="1"/>
  <c r="Q14" i="8" s="1"/>
  <c r="R14" i="8" s="1"/>
  <c r="Q61" i="8" a="1"/>
  <c r="Q61" i="8" s="1"/>
  <c r="R61" i="8" s="1"/>
  <c r="Q29" i="8" a="1"/>
  <c r="Q29" i="8" s="1"/>
  <c r="R29" i="8" s="1"/>
  <c r="Q13" i="8" a="1"/>
  <c r="Q13" i="8" s="1"/>
  <c r="R13" i="8" s="1"/>
  <c r="Q47" i="8" a="1"/>
  <c r="Q47" i="8" s="1"/>
  <c r="R47" i="8" s="1"/>
  <c r="Q44" i="8" a="1"/>
  <c r="Q44" i="8" s="1"/>
  <c r="R44" i="8" s="1"/>
  <c r="A7" i="17" a="1"/>
  <c r="A18" i="17" s="1"/>
  <c r="Q12" i="8" a="1"/>
  <c r="Q12" i="8" s="1"/>
  <c r="R12" i="8" s="1"/>
  <c r="Q8" i="8" a="1"/>
  <c r="Q8" i="8" s="1"/>
  <c r="R8" i="8" s="1"/>
  <c r="Q40" i="8" a="1"/>
  <c r="Q40" i="8" s="1"/>
  <c r="R40" i="8" s="1"/>
  <c r="Q55" i="8" a="1"/>
  <c r="Q55" i="8" s="1"/>
  <c r="R55" i="8" s="1"/>
  <c r="Q24" i="8" a="1"/>
  <c r="Q24" i="8" s="1"/>
  <c r="R24" i="8" s="1"/>
  <c r="Q56" i="8" a="1"/>
  <c r="Q56" i="8" s="1"/>
  <c r="R56" i="8" s="1"/>
  <c r="A7" i="16" a="1"/>
  <c r="A8" i="16" s="1"/>
  <c r="A7" i="19" a="1"/>
  <c r="Q31" i="8" a="1"/>
  <c r="Q31" i="8" s="1"/>
  <c r="R31" i="8" s="1"/>
  <c r="Q59" i="8" a="1"/>
  <c r="Q59" i="8" s="1"/>
  <c r="R59" i="8" s="1"/>
  <c r="Q19" i="8" a="1"/>
  <c r="Q19" i="8" s="1"/>
  <c r="R19" i="8" s="1"/>
  <c r="Q50" i="8" a="1"/>
  <c r="Q50" i="8" s="1"/>
  <c r="R50" i="8" s="1"/>
  <c r="Q18" i="8" a="1"/>
  <c r="Q18" i="8" s="1"/>
  <c r="R18" i="8" s="1"/>
  <c r="Q60" i="8" a="1"/>
  <c r="Q60" i="8" s="1"/>
  <c r="R60" i="8" s="1"/>
  <c r="Q28" i="8" a="1"/>
  <c r="Q28" i="8" s="1"/>
  <c r="R28" i="8" s="1"/>
  <c r="Q43" i="8" a="1"/>
  <c r="Q43" i="8" s="1"/>
  <c r="R43" i="8" s="1"/>
  <c r="Q22" i="8" a="1"/>
  <c r="Q22" i="8" s="1"/>
  <c r="R22" i="8" s="1"/>
  <c r="Q49" i="8" a="1"/>
  <c r="Q49" i="8" s="1"/>
  <c r="R49" i="8" s="1"/>
  <c r="Q33" i="8" a="1"/>
  <c r="Q33" i="8" s="1"/>
  <c r="R33" i="8" s="1"/>
  <c r="Q17" i="8" a="1"/>
  <c r="Q17" i="8" s="1"/>
  <c r="R17" i="8" s="1"/>
  <c r="Q27" i="8" a="1"/>
  <c r="Q27" i="8" s="1"/>
  <c r="R27" i="8" s="1"/>
  <c r="Q9" i="8" a="1"/>
  <c r="Q9" i="8" s="1"/>
  <c r="R9" i="8" s="1"/>
  <c r="Q25" i="8" a="1"/>
  <c r="Q25" i="8" s="1"/>
  <c r="R25" i="8" s="1"/>
  <c r="Q41" i="8" a="1"/>
  <c r="Q41" i="8" s="1"/>
  <c r="R41" i="8" s="1"/>
  <c r="Q57" i="8" a="1"/>
  <c r="Q57" i="8" s="1"/>
  <c r="R57" i="8" s="1"/>
  <c r="Q7" i="8" a="1"/>
  <c r="Q7" i="8" s="1"/>
  <c r="R7" i="8" s="1"/>
  <c r="Q42" i="8" a="1"/>
  <c r="Q42" i="8" s="1"/>
  <c r="R42" i="8" s="1"/>
  <c r="Q64" i="8" a="1"/>
  <c r="Q64" i="8" s="1"/>
  <c r="R64" i="8" s="1"/>
  <c r="Q48" i="8" a="1"/>
  <c r="Q48" i="8" s="1"/>
  <c r="R48" i="8" s="1"/>
  <c r="Q32" i="8" a="1"/>
  <c r="Q32" i="8" s="1"/>
  <c r="R32" i="8" s="1"/>
  <c r="Q16" i="8" a="1"/>
  <c r="Q16" i="8" s="1"/>
  <c r="R16" i="8" s="1"/>
  <c r="Q23" i="8" a="1"/>
  <c r="Q23" i="8" s="1"/>
  <c r="R23" i="8" s="1"/>
  <c r="Q58" i="8" a="1"/>
  <c r="Q58" i="8" s="1"/>
  <c r="R58" i="8" s="1"/>
  <c r="Q10" i="8" a="1"/>
  <c r="Q10" i="8" s="1"/>
  <c r="R10" i="8" s="1"/>
  <c r="Q21" i="8" a="1"/>
  <c r="Q21" i="8" s="1"/>
  <c r="R21" i="8" s="1"/>
  <c r="Q37" i="8" a="1"/>
  <c r="Q37" i="8" s="1"/>
  <c r="R37" i="8" s="1"/>
  <c r="Q53" i="8" a="1"/>
  <c r="Q53" i="8" s="1"/>
  <c r="R53" i="8" s="1"/>
  <c r="B23" i="19"/>
  <c r="B8" i="19"/>
  <c r="B24" i="19"/>
  <c r="B56" i="19"/>
  <c r="B27" i="16"/>
  <c r="Q38" i="8" a="1"/>
  <c r="Q38" i="8" s="1"/>
  <c r="R38" i="8" s="1"/>
  <c r="B43" i="16"/>
  <c r="Q54" i="8" a="1"/>
  <c r="Q54" i="8" s="1"/>
  <c r="R54" i="8" s="1"/>
  <c r="B59" i="16"/>
  <c r="B40" i="16"/>
  <c r="B56" i="16"/>
  <c r="B9" i="16"/>
  <c r="B40" i="19"/>
  <c r="B42" i="16"/>
  <c r="B23" i="16"/>
  <c r="B39" i="16"/>
  <c r="B55" i="16"/>
  <c r="B8" i="16"/>
  <c r="B24" i="16"/>
  <c r="B58" i="16"/>
  <c r="B41" i="16"/>
  <c r="B10" i="16"/>
  <c r="B25" i="16"/>
  <c r="B55" i="19"/>
  <c r="B26" i="16"/>
  <c r="B7" i="16"/>
  <c r="B28" i="16"/>
  <c r="B49" i="16"/>
  <c r="B30" i="16"/>
  <c r="B51" i="16"/>
  <c r="B31" i="16"/>
  <c r="B52" i="16"/>
  <c r="B32" i="16"/>
  <c r="B53" i="16"/>
  <c r="B16" i="16"/>
  <c r="B37" i="16"/>
  <c r="B63" i="16"/>
  <c r="B38" i="16"/>
  <c r="B47" i="16"/>
  <c r="B29" i="16"/>
  <c r="B50" i="16"/>
  <c r="B14" i="16"/>
  <c r="B35" i="16"/>
  <c r="B61" i="16"/>
  <c r="B17" i="16"/>
  <c r="B64" i="16"/>
  <c r="B19" i="16"/>
  <c r="B45" i="16"/>
  <c r="B66" i="16"/>
  <c r="B20" i="16"/>
  <c r="B22" i="16"/>
  <c r="B48" i="16"/>
  <c r="B12" i="16"/>
  <c r="B33" i="16"/>
  <c r="B54" i="16"/>
  <c r="B13" i="16"/>
  <c r="B34" i="16"/>
  <c r="B60" i="16"/>
  <c r="B15" i="16"/>
  <c r="B36" i="16"/>
  <c r="B62" i="16"/>
  <c r="B18" i="16"/>
  <c r="B44" i="16"/>
  <c r="B65" i="16"/>
  <c r="B46" i="16"/>
  <c r="B21" i="16"/>
  <c r="B11" i="16"/>
  <c r="B7" i="19"/>
  <c r="B14" i="19"/>
  <c r="B32" i="19"/>
  <c r="B50" i="19"/>
  <c r="B17" i="19"/>
  <c r="B35" i="19"/>
  <c r="B53" i="19"/>
  <c r="B61" i="19"/>
  <c r="B13" i="19"/>
  <c r="B31" i="19"/>
  <c r="B49" i="19"/>
  <c r="B15" i="19"/>
  <c r="B33" i="19"/>
  <c r="B51" i="19"/>
  <c r="B16" i="19"/>
  <c r="B34" i="19"/>
  <c r="B52" i="19"/>
  <c r="B18" i="19"/>
  <c r="B36" i="19"/>
  <c r="B54" i="19"/>
  <c r="B22" i="19"/>
  <c r="B42" i="19"/>
  <c r="B60" i="19"/>
  <c r="B43" i="19"/>
  <c r="B26" i="19"/>
  <c r="B44" i="19"/>
  <c r="B62" i="19"/>
  <c r="B12" i="19"/>
  <c r="B30" i="19"/>
  <c r="B48" i="19"/>
  <c r="B66" i="19"/>
  <c r="B19" i="19"/>
  <c r="B37" i="19"/>
  <c r="B57" i="19"/>
  <c r="B20" i="19"/>
  <c r="B38" i="19"/>
  <c r="B58" i="19"/>
  <c r="B21" i="19"/>
  <c r="B41" i="19"/>
  <c r="B59" i="19"/>
  <c r="B25" i="19"/>
  <c r="B9" i="19"/>
  <c r="B27" i="19"/>
  <c r="B45" i="19"/>
  <c r="B63" i="19"/>
  <c r="B10" i="19"/>
  <c r="B28" i="19"/>
  <c r="B46" i="19"/>
  <c r="B64" i="19"/>
  <c r="B11" i="19"/>
  <c r="B29" i="19"/>
  <c r="B47" i="19"/>
  <c r="B65" i="19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2" i="6"/>
  <c r="H73" i="6"/>
  <c r="H74" i="6"/>
  <c r="H75" i="6"/>
  <c r="H76" i="6"/>
  <c r="H78" i="6"/>
  <c r="H79" i="6"/>
  <c r="H80" i="6"/>
  <c r="H81" i="6"/>
  <c r="H82" i="6"/>
  <c r="H83" i="6"/>
  <c r="H84" i="6"/>
  <c r="H85" i="6"/>
  <c r="H86" i="6"/>
  <c r="H87" i="6"/>
  <c r="H89" i="6"/>
  <c r="H90" i="6"/>
  <c r="H92" i="6"/>
  <c r="H93" i="6"/>
  <c r="H94" i="6"/>
  <c r="H95" i="6"/>
  <c r="H96" i="6"/>
  <c r="H97" i="6"/>
  <c r="H98" i="6"/>
  <c r="H99" i="6"/>
  <c r="H100" i="6"/>
  <c r="H101" i="6"/>
  <c r="H102" i="6"/>
  <c r="H103" i="6"/>
  <c r="F4" i="6"/>
  <c r="F5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2" i="6"/>
  <c r="F73" i="6"/>
  <c r="F74" i="6"/>
  <c r="F75" i="6"/>
  <c r="F76" i="6"/>
  <c r="F78" i="6"/>
  <c r="F79" i="6"/>
  <c r="F80" i="6"/>
  <c r="F81" i="6"/>
  <c r="F82" i="6"/>
  <c r="F83" i="6"/>
  <c r="F84" i="6"/>
  <c r="F85" i="6"/>
  <c r="F86" i="6"/>
  <c r="F87" i="6"/>
  <c r="F89" i="6"/>
  <c r="F90" i="6"/>
  <c r="F92" i="6"/>
  <c r="F93" i="6"/>
  <c r="F94" i="6"/>
  <c r="F95" i="6"/>
  <c r="F96" i="6"/>
  <c r="F97" i="6"/>
  <c r="F98" i="6"/>
  <c r="F99" i="6"/>
  <c r="F100" i="6"/>
  <c r="F101" i="6"/>
  <c r="F102" i="6"/>
  <c r="F103" i="6"/>
  <c r="A3" i="17" a="1"/>
  <c r="A3" i="17" s="1"/>
  <c r="AI52" i="8"/>
  <c r="AF52" i="8"/>
  <c r="Z52" i="8"/>
  <c r="W52" i="8"/>
  <c r="A52" i="8"/>
  <c r="AI51" i="8"/>
  <c r="AF51" i="8"/>
  <c r="W51" i="8"/>
  <c r="Z51" i="8"/>
  <c r="A51" i="8"/>
  <c r="AI50" i="8"/>
  <c r="AF50" i="8"/>
  <c r="Z50" i="8"/>
  <c r="W50" i="8"/>
  <c r="A50" i="8"/>
  <c r="AI49" i="8"/>
  <c r="AF49" i="8"/>
  <c r="Z49" i="8"/>
  <c r="W49" i="8"/>
  <c r="A49" i="8"/>
  <c r="AI48" i="8"/>
  <c r="AF48" i="8"/>
  <c r="Z48" i="8"/>
  <c r="W48" i="8"/>
  <c r="A48" i="8"/>
  <c r="AI47" i="8"/>
  <c r="AF47" i="8"/>
  <c r="Z47" i="8"/>
  <c r="W47" i="8"/>
  <c r="A47" i="8"/>
  <c r="AI46" i="8"/>
  <c r="AF46" i="8"/>
  <c r="Z46" i="8"/>
  <c r="W46" i="8"/>
  <c r="A46" i="8"/>
  <c r="AI45" i="8"/>
  <c r="AF45" i="8"/>
  <c r="Z45" i="8"/>
  <c r="W45" i="8"/>
  <c r="A45" i="8"/>
  <c r="AI44" i="8"/>
  <c r="AF44" i="8"/>
  <c r="Z44" i="8"/>
  <c r="W44" i="8"/>
  <c r="A44" i="8"/>
  <c r="AI43" i="8"/>
  <c r="AF43" i="8"/>
  <c r="Z43" i="8"/>
  <c r="W43" i="8"/>
  <c r="A43" i="8"/>
  <c r="AI42" i="8"/>
  <c r="AF42" i="8"/>
  <c r="Z42" i="8"/>
  <c r="W42" i="8"/>
  <c r="A42" i="8"/>
  <c r="AI41" i="8"/>
  <c r="AF41" i="8"/>
  <c r="Z41" i="8"/>
  <c r="W41" i="8"/>
  <c r="A41" i="8"/>
  <c r="AI40" i="8"/>
  <c r="AF40" i="8"/>
  <c r="Z40" i="8"/>
  <c r="W40" i="8"/>
  <c r="A40" i="8"/>
  <c r="AI39" i="8"/>
  <c r="AF39" i="8"/>
  <c r="Z39" i="8"/>
  <c r="W39" i="8"/>
  <c r="A39" i="8"/>
  <c r="AI38" i="8"/>
  <c r="AF38" i="8"/>
  <c r="Z38" i="8"/>
  <c r="W38" i="8"/>
  <c r="A38" i="8"/>
  <c r="AI37" i="8"/>
  <c r="AF37" i="8"/>
  <c r="Z37" i="8"/>
  <c r="W37" i="8"/>
  <c r="A37" i="8"/>
  <c r="AI36" i="8"/>
  <c r="AF36" i="8"/>
  <c r="Z36" i="8"/>
  <c r="W36" i="8"/>
  <c r="A36" i="8"/>
  <c r="AI35" i="8"/>
  <c r="AF35" i="8"/>
  <c r="Z35" i="8"/>
  <c r="W35" i="8"/>
  <c r="A35" i="8"/>
  <c r="AI34" i="8"/>
  <c r="AF34" i="8"/>
  <c r="Z34" i="8"/>
  <c r="W34" i="8"/>
  <c r="A34" i="8"/>
  <c r="AI33" i="8"/>
  <c r="AF33" i="8"/>
  <c r="Z33" i="8"/>
  <c r="W33" i="8"/>
  <c r="A33" i="8"/>
  <c r="AI32" i="8"/>
  <c r="AF32" i="8"/>
  <c r="Z32" i="8"/>
  <c r="W32" i="8"/>
  <c r="A32" i="8"/>
  <c r="AI31" i="8"/>
  <c r="AF31" i="8"/>
  <c r="Z31" i="8"/>
  <c r="W31" i="8"/>
  <c r="A31" i="8"/>
  <c r="AI30" i="8"/>
  <c r="AF30" i="8"/>
  <c r="Z30" i="8"/>
  <c r="W30" i="8"/>
  <c r="A30" i="8"/>
  <c r="AI29" i="8"/>
  <c r="AF29" i="8"/>
  <c r="Z29" i="8"/>
  <c r="W29" i="8"/>
  <c r="A29" i="8"/>
  <c r="AI28" i="8"/>
  <c r="AF28" i="8"/>
  <c r="Z28" i="8"/>
  <c r="W28" i="8"/>
  <c r="A28" i="8"/>
  <c r="AI27" i="8"/>
  <c r="AF27" i="8"/>
  <c r="Z27" i="8"/>
  <c r="W27" i="8"/>
  <c r="A27" i="8"/>
  <c r="AI26" i="8"/>
  <c r="AF26" i="8"/>
  <c r="Z26" i="8"/>
  <c r="W26" i="8"/>
  <c r="A26" i="8"/>
  <c r="AI25" i="8"/>
  <c r="AF25" i="8"/>
  <c r="Z25" i="8"/>
  <c r="W25" i="8"/>
  <c r="A25" i="8"/>
  <c r="AI24" i="8"/>
  <c r="AF24" i="8"/>
  <c r="Z24" i="8"/>
  <c r="W24" i="8"/>
  <c r="A24" i="8"/>
  <c r="AI23" i="8"/>
  <c r="AF23" i="8"/>
  <c r="Z23" i="8"/>
  <c r="W23" i="8"/>
  <c r="A23" i="8"/>
  <c r="AI22" i="8"/>
  <c r="AF22" i="8"/>
  <c r="Z22" i="8"/>
  <c r="W22" i="8"/>
  <c r="A22" i="8"/>
  <c r="AI21" i="8"/>
  <c r="AF21" i="8"/>
  <c r="Z21" i="8"/>
  <c r="W21" i="8"/>
  <c r="A21" i="8"/>
  <c r="AI20" i="8"/>
  <c r="AF20" i="8"/>
  <c r="Z20" i="8"/>
  <c r="W20" i="8"/>
  <c r="A20" i="8"/>
  <c r="AI19" i="8"/>
  <c r="AF19" i="8"/>
  <c r="Z19" i="8"/>
  <c r="W19" i="8"/>
  <c r="A19" i="8"/>
  <c r="AI18" i="8"/>
  <c r="AF18" i="8"/>
  <c r="Z18" i="8"/>
  <c r="W18" i="8"/>
  <c r="A18" i="8"/>
  <c r="AI17" i="8"/>
  <c r="AF17" i="8"/>
  <c r="Z17" i="8"/>
  <c r="W17" i="8"/>
  <c r="A17" i="8"/>
  <c r="AI16" i="8"/>
  <c r="AF16" i="8"/>
  <c r="Z16" i="8"/>
  <c r="W16" i="8"/>
  <c r="A16" i="8"/>
  <c r="AI15" i="8"/>
  <c r="AF15" i="8"/>
  <c r="Z15" i="8"/>
  <c r="W15" i="8"/>
  <c r="A15" i="8"/>
  <c r="AI14" i="8"/>
  <c r="AF14" i="8"/>
  <c r="Z14" i="8"/>
  <c r="W14" i="8"/>
  <c r="A14" i="8"/>
  <c r="AI13" i="8"/>
  <c r="AF13" i="8"/>
  <c r="Z13" i="8"/>
  <c r="W13" i="8"/>
  <c r="A13" i="8"/>
  <c r="AI12" i="8"/>
  <c r="AF12" i="8"/>
  <c r="Z12" i="8"/>
  <c r="W12" i="8"/>
  <c r="A12" i="8"/>
  <c r="AI11" i="8"/>
  <c r="AF11" i="8"/>
  <c r="Z11" i="8"/>
  <c r="W11" i="8"/>
  <c r="A11" i="8"/>
  <c r="AI10" i="8"/>
  <c r="AF10" i="8"/>
  <c r="Z10" i="8"/>
  <c r="W10" i="8"/>
  <c r="A10" i="8"/>
  <c r="AI9" i="8"/>
  <c r="AF9" i="8"/>
  <c r="Z9" i="8"/>
  <c r="W9" i="8"/>
  <c r="A9" i="8"/>
  <c r="AI8" i="8"/>
  <c r="AF8" i="8"/>
  <c r="Z8" i="8"/>
  <c r="W8" i="8"/>
  <c r="A8" i="8"/>
  <c r="AF7" i="8"/>
  <c r="AI7" i="8" s="1"/>
  <c r="W7" i="8"/>
  <c r="Z7" i="8" s="1"/>
  <c r="A7" i="8"/>
  <c r="B2" i="8"/>
  <c r="A11" i="17" l="1"/>
  <c r="A57" i="17"/>
  <c r="A15" i="17"/>
  <c r="A34" i="17"/>
  <c r="A50" i="17"/>
  <c r="A49" i="17"/>
  <c r="A46" i="17"/>
  <c r="A42" i="17"/>
  <c r="A61" i="17"/>
  <c r="A58" i="17"/>
  <c r="A54" i="17"/>
  <c r="A63" i="17"/>
  <c r="A37" i="17"/>
  <c r="A17" i="17"/>
  <c r="A27" i="17"/>
  <c r="A14" i="17"/>
  <c r="A51" i="17"/>
  <c r="A52" i="17"/>
  <c r="A23" i="17"/>
  <c r="A53" i="17"/>
  <c r="A30" i="17"/>
  <c r="A32" i="17"/>
  <c r="A9" i="17"/>
  <c r="A33" i="17"/>
  <c r="A28" i="17"/>
  <c r="A8" i="17"/>
  <c r="A25" i="17"/>
  <c r="A13" i="17"/>
  <c r="A47" i="17"/>
  <c r="A16" i="17"/>
  <c r="A66" i="17"/>
  <c r="A7" i="17"/>
  <c r="AG10" i="4"/>
  <c r="AD10" i="4"/>
  <c r="AF10" i="4"/>
  <c r="AC10" i="4"/>
  <c r="AC13" i="4"/>
  <c r="AF13" i="4"/>
  <c r="AD13" i="4"/>
  <c r="AG13" i="4"/>
  <c r="A43" i="17"/>
  <c r="A45" i="17"/>
  <c r="A31" i="17"/>
  <c r="A40" i="17"/>
  <c r="A59" i="17"/>
  <c r="A60" i="17"/>
  <c r="A48" i="17"/>
  <c r="A19" i="17"/>
  <c r="B7" i="17" a="1"/>
  <c r="A39" i="17"/>
  <c r="A36" i="17"/>
  <c r="A24" i="17"/>
  <c r="A62" i="17"/>
  <c r="A22" i="17"/>
  <c r="A64" i="17"/>
  <c r="A21" i="17"/>
  <c r="A55" i="17"/>
  <c r="A56" i="17"/>
  <c r="A20" i="17"/>
  <c r="A38" i="17"/>
  <c r="A10" i="17"/>
  <c r="A29" i="17"/>
  <c r="A65" i="17"/>
  <c r="A41" i="17"/>
  <c r="A44" i="17"/>
  <c r="A26" i="17"/>
  <c r="A35" i="17"/>
  <c r="A12" i="17"/>
  <c r="A15" i="16"/>
  <c r="A48" i="16"/>
  <c r="A55" i="16"/>
  <c r="A35" i="16"/>
  <c r="A9" i="16"/>
  <c r="A62" i="16"/>
  <c r="A28" i="16"/>
  <c r="A63" i="16"/>
  <c r="A19" i="16"/>
  <c r="A7" i="16"/>
  <c r="S7" i="8" s="1"/>
  <c r="A43" i="16"/>
  <c r="A59" i="16"/>
  <c r="A27" i="16"/>
  <c r="A47" i="16"/>
  <c r="A25" i="16"/>
  <c r="A42" i="16"/>
  <c r="A32" i="16"/>
  <c r="A46" i="16"/>
  <c r="A17" i="16"/>
  <c r="A50" i="16"/>
  <c r="A22" i="16"/>
  <c r="A61" i="16"/>
  <c r="A10" i="16"/>
  <c r="A30" i="16"/>
  <c r="A37" i="16"/>
  <c r="A11" i="16"/>
  <c r="A60" i="16"/>
  <c r="A38" i="16"/>
  <c r="A36" i="16"/>
  <c r="A58" i="16"/>
  <c r="A53" i="16"/>
  <c r="A20" i="16"/>
  <c r="A18" i="16"/>
  <c r="A16" i="16"/>
  <c r="A54" i="16"/>
  <c r="A65" i="16"/>
  <c r="A34" i="16"/>
  <c r="A45" i="16"/>
  <c r="A40" i="16"/>
  <c r="A14" i="16"/>
  <c r="A44" i="16"/>
  <c r="A57" i="16"/>
  <c r="A52" i="16"/>
  <c r="A39" i="16"/>
  <c r="H52" i="6"/>
  <c r="P7" i="5" s="1"/>
  <c r="F7" i="5" s="1"/>
  <c r="S7" i="5"/>
  <c r="K7" i="5" s="1"/>
  <c r="F28" i="6"/>
  <c r="O6" i="5" s="1"/>
  <c r="E6" i="5" s="1"/>
  <c r="R6" i="5"/>
  <c r="J6" i="5" s="1"/>
  <c r="F77" i="6"/>
  <c r="O9" i="5" s="1"/>
  <c r="E9" i="5" s="1"/>
  <c r="R9" i="5"/>
  <c r="J9" i="5" s="1"/>
  <c r="F91" i="6"/>
  <c r="O11" i="5" s="1"/>
  <c r="E11" i="5" s="1"/>
  <c r="R11" i="5"/>
  <c r="J11" i="5" s="1"/>
  <c r="H77" i="6"/>
  <c r="P9" i="5" s="1"/>
  <c r="F9" i="5" s="1"/>
  <c r="S9" i="5"/>
  <c r="K9" i="5" s="1"/>
  <c r="F71" i="6"/>
  <c r="O8" i="5" s="1"/>
  <c r="E8" i="5" s="1"/>
  <c r="R8" i="5"/>
  <c r="J8" i="5" s="1"/>
  <c r="F52" i="6"/>
  <c r="O7" i="5" s="1"/>
  <c r="E7" i="5" s="1"/>
  <c r="R7" i="5"/>
  <c r="J7" i="5" s="1"/>
  <c r="H88" i="6"/>
  <c r="P10" i="5" s="1"/>
  <c r="F10" i="5" s="1"/>
  <c r="S10" i="5"/>
  <c r="K10" i="5" s="1"/>
  <c r="F88" i="6"/>
  <c r="O10" i="5" s="1"/>
  <c r="E10" i="5" s="1"/>
  <c r="R10" i="5"/>
  <c r="J10" i="5" s="1"/>
  <c r="H91" i="6"/>
  <c r="P11" i="5" s="1"/>
  <c r="F11" i="5" s="1"/>
  <c r="S11" i="5"/>
  <c r="K11" i="5" s="1"/>
  <c r="H71" i="6"/>
  <c r="P8" i="5" s="1"/>
  <c r="F8" i="5" s="1"/>
  <c r="S8" i="5"/>
  <c r="K8" i="5" s="1"/>
  <c r="H28" i="6"/>
  <c r="P6" i="5" s="1"/>
  <c r="F6" i="5" s="1"/>
  <c r="S6" i="5"/>
  <c r="K6" i="5" s="1"/>
  <c r="S5" i="5"/>
  <c r="K5" i="5" s="1"/>
  <c r="F6" i="6"/>
  <c r="O5" i="5" s="1"/>
  <c r="E5" i="5" s="1"/>
  <c r="R5" i="5"/>
  <c r="J5" i="5" s="1"/>
  <c r="A41" i="16"/>
  <c r="A33" i="16"/>
  <c r="A49" i="16"/>
  <c r="A51" i="16"/>
  <c r="A26" i="16"/>
  <c r="A13" i="16"/>
  <c r="A29" i="16"/>
  <c r="A31" i="16"/>
  <c r="A24" i="16"/>
  <c r="A12" i="16"/>
  <c r="A21" i="16"/>
  <c r="A23" i="16"/>
  <c r="A56" i="16"/>
  <c r="A66" i="16"/>
  <c r="A64" i="16"/>
  <c r="A7" i="19"/>
  <c r="E6" i="8" s="1"/>
  <c r="A12" i="19"/>
  <c r="A37" i="19"/>
  <c r="A66" i="19"/>
  <c r="A51" i="19"/>
  <c r="A52" i="19"/>
  <c r="A32" i="19"/>
  <c r="A60" i="19"/>
  <c r="A13" i="19"/>
  <c r="A38" i="19"/>
  <c r="A21" i="19"/>
  <c r="A33" i="19"/>
  <c r="A35" i="19"/>
  <c r="A16" i="19"/>
  <c r="A44" i="19"/>
  <c r="A17" i="19"/>
  <c r="A45" i="19"/>
  <c r="A18" i="19"/>
  <c r="A48" i="19"/>
  <c r="A28" i="19"/>
  <c r="A53" i="19"/>
  <c r="A61" i="19"/>
  <c r="A63" i="19"/>
  <c r="A36" i="19"/>
  <c r="A65" i="19"/>
  <c r="A19" i="19"/>
  <c r="A49" i="19"/>
  <c r="A20" i="19"/>
  <c r="A50" i="19"/>
  <c r="A22" i="19"/>
  <c r="A29" i="19"/>
  <c r="A54" i="19"/>
  <c r="A34" i="19"/>
  <c r="A64" i="19"/>
  <c r="A30" i="19"/>
  <c r="A24" i="19"/>
  <c r="A11" i="19"/>
  <c r="A58" i="19"/>
  <c r="A42" i="19"/>
  <c r="A15" i="19"/>
  <c r="A9" i="19"/>
  <c r="A46" i="19"/>
  <c r="A40" i="19"/>
  <c r="A14" i="19"/>
  <c r="A8" i="19"/>
  <c r="A59" i="19"/>
  <c r="A55" i="19"/>
  <c r="A39" i="19"/>
  <c r="A27" i="19"/>
  <c r="A23" i="19"/>
  <c r="A62" i="19"/>
  <c r="A56" i="19"/>
  <c r="A57" i="19"/>
  <c r="A47" i="19"/>
  <c r="A41" i="19"/>
  <c r="A31" i="19"/>
  <c r="A43" i="19"/>
  <c r="A10" i="19"/>
  <c r="A26" i="19"/>
  <c r="A25" i="19"/>
  <c r="P5" i="5"/>
  <c r="F5" i="5" s="1"/>
  <c r="G7" i="5" l="1"/>
  <c r="G6" i="5"/>
  <c r="G9" i="5"/>
  <c r="G10" i="5"/>
  <c r="G8" i="5"/>
  <c r="G5" i="5"/>
  <c r="G11" i="5"/>
  <c r="S6" i="8"/>
  <c r="AF8" i="4"/>
  <c r="AC8" i="4"/>
  <c r="AD8" i="4"/>
  <c r="AG8" i="4"/>
  <c r="AF6" i="4"/>
  <c r="AC6" i="4"/>
  <c r="AG6" i="4"/>
  <c r="AD6" i="4"/>
  <c r="AF9" i="4"/>
  <c r="AG9" i="4"/>
  <c r="AC9" i="4"/>
  <c r="AD9" i="4"/>
  <c r="AF7" i="4"/>
  <c r="AC7" i="4"/>
  <c r="AD7" i="4"/>
  <c r="AG7" i="4"/>
  <c r="B7" i="17"/>
  <c r="AA6" i="8" s="1"/>
  <c r="B22" i="17"/>
  <c r="AA21" i="8" s="1"/>
  <c r="B44" i="17"/>
  <c r="AA43" i="8" s="1"/>
  <c r="B63" i="17"/>
  <c r="AA62" i="8" s="1"/>
  <c r="B12" i="17"/>
  <c r="AA11" i="8" s="1"/>
  <c r="B31" i="17"/>
  <c r="AA30" i="8" s="1"/>
  <c r="B50" i="17"/>
  <c r="AA49" i="8" s="1"/>
  <c r="B13" i="17"/>
  <c r="AA12" i="8" s="1"/>
  <c r="B32" i="17"/>
  <c r="AA31" i="8" s="1"/>
  <c r="B51" i="17"/>
  <c r="AA50" i="8" s="1"/>
  <c r="B14" i="17"/>
  <c r="AA13" i="8" s="1"/>
  <c r="B33" i="17"/>
  <c r="AA32" i="8" s="1"/>
  <c r="B52" i="17"/>
  <c r="B17" i="17"/>
  <c r="AA16" i="8" s="1"/>
  <c r="B36" i="17"/>
  <c r="AA35" i="8" s="1"/>
  <c r="B58" i="17"/>
  <c r="AA57" i="8" s="1"/>
  <c r="B18" i="17"/>
  <c r="AA17" i="8" s="1"/>
  <c r="B37" i="17"/>
  <c r="AA36" i="8" s="1"/>
  <c r="B59" i="17"/>
  <c r="AA58" i="8" s="1"/>
  <c r="B20" i="17"/>
  <c r="AA19" i="8" s="1"/>
  <c r="B42" i="17"/>
  <c r="AA41" i="8" s="1"/>
  <c r="B61" i="17"/>
  <c r="AA60" i="8" s="1"/>
  <c r="B26" i="17"/>
  <c r="AA25" i="8" s="1"/>
  <c r="B45" i="17"/>
  <c r="AA44" i="8" s="1"/>
  <c r="B64" i="17"/>
  <c r="AA63" i="8" s="1"/>
  <c r="B28" i="17"/>
  <c r="AA27" i="8" s="1"/>
  <c r="B47" i="17"/>
  <c r="AA46" i="8" s="1"/>
  <c r="B66" i="17"/>
  <c r="B30" i="17"/>
  <c r="AA29" i="8" s="1"/>
  <c r="B27" i="17"/>
  <c r="AA26" i="8" s="1"/>
  <c r="B46" i="17"/>
  <c r="AA45" i="8" s="1"/>
  <c r="B65" i="17"/>
  <c r="AA64" i="8" s="1"/>
  <c r="B29" i="17"/>
  <c r="AA28" i="8" s="1"/>
  <c r="B48" i="17"/>
  <c r="AA47" i="8" s="1"/>
  <c r="B10" i="17"/>
  <c r="AA9" i="8" s="1"/>
  <c r="B49" i="17"/>
  <c r="AA48" i="8" s="1"/>
  <c r="B15" i="17"/>
  <c r="AA14" i="8" s="1"/>
  <c r="B34" i="17"/>
  <c r="AA33" i="8" s="1"/>
  <c r="B53" i="17"/>
  <c r="AA52" i="8" s="1"/>
  <c r="B16" i="17"/>
  <c r="AA15" i="8" s="1"/>
  <c r="B35" i="17"/>
  <c r="AA34" i="8" s="1"/>
  <c r="B54" i="17"/>
  <c r="AA53" i="8" s="1"/>
  <c r="B19" i="17"/>
  <c r="AA18" i="8" s="1"/>
  <c r="B38" i="17"/>
  <c r="AA37" i="8" s="1"/>
  <c r="B60" i="17"/>
  <c r="AA59" i="8" s="1"/>
  <c r="B21" i="17"/>
  <c r="AA20" i="8" s="1"/>
  <c r="B43" i="17"/>
  <c r="AA42" i="8" s="1"/>
  <c r="B62" i="17"/>
  <c r="AA61" i="8" s="1"/>
  <c r="B8" i="17"/>
  <c r="AA7" i="8" s="1"/>
  <c r="B55" i="17"/>
  <c r="AA54" i="8" s="1"/>
  <c r="B39" i="17"/>
  <c r="AA38" i="8" s="1"/>
  <c r="B23" i="17"/>
  <c r="AA22" i="8" s="1"/>
  <c r="B11" i="17"/>
  <c r="AA10" i="8" s="1"/>
  <c r="B57" i="17"/>
  <c r="AA56" i="8" s="1"/>
  <c r="B41" i="17"/>
  <c r="AA40" i="8" s="1"/>
  <c r="B25" i="17"/>
  <c r="AA24" i="8" s="1"/>
  <c r="B9" i="17"/>
  <c r="AA8" i="8" s="1"/>
  <c r="B56" i="17"/>
  <c r="AA55" i="8" s="1"/>
  <c r="B40" i="17"/>
  <c r="AA39" i="8" s="1"/>
  <c r="B24" i="17"/>
  <c r="AA23" i="8" s="1"/>
  <c r="AA51" i="8"/>
  <c r="S8" i="8"/>
  <c r="S9" i="8"/>
  <c r="S13" i="8"/>
  <c r="S10" i="8"/>
  <c r="S36" i="8"/>
  <c r="S16" i="8"/>
  <c r="S43" i="8"/>
  <c r="S17" i="8"/>
  <c r="S62" i="8"/>
  <c r="S32" i="8"/>
  <c r="S57" i="8"/>
  <c r="S56" i="8"/>
  <c r="S53" i="8"/>
  <c r="S27" i="8"/>
  <c r="E23" i="8"/>
  <c r="S37" i="8"/>
  <c r="S51" i="8"/>
  <c r="S58" i="8"/>
  <c r="S38" i="8"/>
  <c r="E34" i="8"/>
  <c r="S55" i="8"/>
  <c r="S39" i="8"/>
  <c r="S24" i="8"/>
  <c r="S48" i="8"/>
  <c r="S29" i="8"/>
  <c r="B11" i="5"/>
  <c r="I93" i="6" s="1"/>
  <c r="B7" i="5"/>
  <c r="I60" i="6" s="1"/>
  <c r="K13" i="5"/>
  <c r="K12" i="5"/>
  <c r="J13" i="5"/>
  <c r="J12" i="5"/>
  <c r="S30" i="8"/>
  <c r="S28" i="8"/>
  <c r="S19" i="8"/>
  <c r="S44" i="8"/>
  <c r="E45" i="8"/>
  <c r="S64" i="8"/>
  <c r="S12" i="8"/>
  <c r="S50" i="8"/>
  <c r="S31" i="8"/>
  <c r="E14" i="8"/>
  <c r="S40" i="8"/>
  <c r="S35" i="8"/>
  <c r="S59" i="8"/>
  <c r="S45" i="8"/>
  <c r="S63" i="8"/>
  <c r="S15" i="8"/>
  <c r="S22" i="8"/>
  <c r="S20" i="8"/>
  <c r="S11" i="8"/>
  <c r="S25" i="8"/>
  <c r="S23" i="8"/>
  <c r="E15" i="8"/>
  <c r="S61" i="8"/>
  <c r="S34" i="8"/>
  <c r="E41" i="8"/>
  <c r="S26" i="8"/>
  <c r="S41" i="8"/>
  <c r="S14" i="8"/>
  <c r="S49" i="8"/>
  <c r="S47" i="8"/>
  <c r="S54" i="8"/>
  <c r="S46" i="8"/>
  <c r="S42" i="8"/>
  <c r="E22" i="8"/>
  <c r="S18" i="8"/>
  <c r="S60" i="8"/>
  <c r="S33" i="8"/>
  <c r="S52" i="8"/>
  <c r="S21" i="8"/>
  <c r="E54" i="8"/>
  <c r="E57" i="8"/>
  <c r="E20" i="8"/>
  <c r="E51" i="8"/>
  <c r="E42" i="8"/>
  <c r="E24" i="8"/>
  <c r="E58" i="8"/>
  <c r="E35" i="8"/>
  <c r="E16" i="8"/>
  <c r="E18" i="8"/>
  <c r="E19" i="8"/>
  <c r="E8" i="8"/>
  <c r="E28" i="8"/>
  <c r="E39" i="8"/>
  <c r="E32" i="8"/>
  <c r="E36" i="8"/>
  <c r="E40" i="8"/>
  <c r="E55" i="8"/>
  <c r="E49" i="8"/>
  <c r="E27" i="8"/>
  <c r="E37" i="8"/>
  <c r="E59" i="8"/>
  <c r="E10" i="8"/>
  <c r="E46" i="8"/>
  <c r="E48" i="8"/>
  <c r="E47" i="8"/>
  <c r="E56" i="8"/>
  <c r="E64" i="8"/>
  <c r="E12" i="8"/>
  <c r="E31" i="8"/>
  <c r="E50" i="8"/>
  <c r="E43" i="8"/>
  <c r="E21" i="8"/>
  <c r="E33" i="8"/>
  <c r="E61" i="8"/>
  <c r="E38" i="8"/>
  <c r="E29" i="8"/>
  <c r="E30" i="8"/>
  <c r="E63" i="8"/>
  <c r="E60" i="8"/>
  <c r="E9" i="8"/>
  <c r="E52" i="8"/>
  <c r="E11" i="8"/>
  <c r="E44" i="8"/>
  <c r="E13" i="8"/>
  <c r="E7" i="8"/>
  <c r="E62" i="8"/>
  <c r="E17" i="8"/>
  <c r="E25" i="8"/>
  <c r="E26" i="8"/>
  <c r="E53" i="8"/>
  <c r="F12" i="5"/>
  <c r="F13" i="5"/>
  <c r="E13" i="5"/>
  <c r="B5" i="5" l="1"/>
  <c r="B9" i="5"/>
  <c r="I80" i="6" s="1"/>
  <c r="B6" i="5"/>
  <c r="B10" i="5"/>
  <c r="B8" i="5"/>
  <c r="I71" i="6" s="1"/>
  <c r="E12" i="5"/>
  <c r="I64" i="6"/>
  <c r="I67" i="6"/>
  <c r="I59" i="6"/>
  <c r="I69" i="6"/>
  <c r="I53" i="6"/>
  <c r="I62" i="6"/>
  <c r="I70" i="6"/>
  <c r="I54" i="6"/>
  <c r="I55" i="6"/>
  <c r="I65" i="6"/>
  <c r="I52" i="6"/>
  <c r="I57" i="6"/>
  <c r="I68" i="6"/>
  <c r="I61" i="6"/>
  <c r="I58" i="6"/>
  <c r="I63" i="6"/>
  <c r="I56" i="6"/>
  <c r="I66" i="6"/>
  <c r="I100" i="6"/>
  <c r="I96" i="6"/>
  <c r="I97" i="6"/>
  <c r="I91" i="6"/>
  <c r="I95" i="6"/>
  <c r="I92" i="6"/>
  <c r="I94" i="6"/>
  <c r="I99" i="6"/>
  <c r="I103" i="6"/>
  <c r="I101" i="6"/>
  <c r="I98" i="6"/>
  <c r="I102" i="6"/>
  <c r="I37" i="6" l="1"/>
  <c r="I30" i="6"/>
  <c r="I47" i="6"/>
  <c r="I46" i="6"/>
  <c r="I32" i="6"/>
  <c r="I16" i="6"/>
  <c r="I25" i="6"/>
  <c r="I19" i="6"/>
  <c r="I49" i="6"/>
  <c r="I50" i="6"/>
  <c r="I35" i="6"/>
  <c r="I34" i="6"/>
  <c r="I29" i="6"/>
  <c r="I51" i="6"/>
  <c r="I39" i="6"/>
  <c r="I45" i="6"/>
  <c r="I44" i="6"/>
  <c r="I28" i="6"/>
  <c r="I43" i="6"/>
  <c r="I31" i="6"/>
  <c r="I36" i="6"/>
  <c r="I42" i="6"/>
  <c r="I41" i="6"/>
  <c r="I40" i="6"/>
  <c r="I38" i="6"/>
  <c r="I33" i="6"/>
  <c r="I48" i="6"/>
  <c r="I14" i="6"/>
  <c r="I24" i="6"/>
  <c r="I26" i="6"/>
  <c r="I11" i="6"/>
  <c r="I10" i="6"/>
  <c r="I12" i="6"/>
  <c r="I21" i="6"/>
  <c r="I15" i="6"/>
  <c r="I5" i="6"/>
  <c r="I72" i="6"/>
  <c r="I84" i="6"/>
  <c r="B13" i="5"/>
  <c r="I27" i="6"/>
  <c r="I20" i="6"/>
  <c r="I9" i="6"/>
  <c r="I6" i="6"/>
  <c r="I18" i="6"/>
  <c r="I13" i="6"/>
  <c r="I85" i="6"/>
  <c r="I74" i="6"/>
  <c r="I22" i="6"/>
  <c r="I76" i="6"/>
  <c r="I86" i="6"/>
  <c r="I81" i="6"/>
  <c r="B12" i="5"/>
  <c r="I78" i="6"/>
  <c r="I83" i="6"/>
  <c r="I82" i="6"/>
  <c r="I73" i="6"/>
  <c r="I7" i="6"/>
  <c r="I23" i="6"/>
  <c r="I90" i="6"/>
  <c r="I8" i="6"/>
  <c r="I17" i="6"/>
  <c r="I88" i="6"/>
  <c r="I89" i="6"/>
  <c r="I87" i="6"/>
  <c r="I77" i="6"/>
  <c r="I79" i="6"/>
  <c r="I7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<sst xmlns="http://schemas.openxmlformats.org/spreadsheetml/2006/main" count="12833" uniqueCount="609">
  <si>
    <t>Please read the Security Guideline which explains the usage of this tool. The guideline is available at https://ertms.be/activities/ertms-security-core-group
The tool can't be used without reading the guideline.</t>
  </si>
  <si>
    <t>EUG</t>
  </si>
  <si>
    <t>v3</t>
  </si>
  <si>
    <t>EULYNX</t>
  </si>
  <si>
    <t>OCORA</t>
  </si>
  <si>
    <t xml:space="preserve">RCA </t>
  </si>
  <si>
    <t>ERORAT</t>
  </si>
  <si>
    <r>
      <rPr>
        <b/>
        <sz val="20"/>
        <color theme="1"/>
        <rFont val="Calibri"/>
        <family val="2"/>
        <scheme val="minor"/>
      </rPr>
      <t>E</t>
    </r>
    <r>
      <rPr>
        <sz val="20"/>
        <color theme="1"/>
        <rFont val="Calibri"/>
        <family val="2"/>
        <scheme val="minor"/>
      </rPr>
      <t xml:space="preserve">ULYNX - EUG - </t>
    </r>
    <r>
      <rPr>
        <b/>
        <sz val="20"/>
        <color theme="1"/>
        <rFont val="Calibri"/>
        <family val="2"/>
        <scheme val="minor"/>
      </rPr>
      <t>R</t>
    </r>
    <r>
      <rPr>
        <sz val="20"/>
        <color theme="1"/>
        <rFont val="Calibri"/>
        <family val="2"/>
        <scheme val="minor"/>
      </rPr>
      <t xml:space="preserve">CA - </t>
    </r>
    <r>
      <rPr>
        <b/>
        <sz val="20"/>
        <color theme="1"/>
        <rFont val="Calibri"/>
        <family val="2"/>
        <scheme val="minor"/>
      </rPr>
      <t>O</t>
    </r>
    <r>
      <rPr>
        <sz val="20"/>
        <color theme="1"/>
        <rFont val="Calibri"/>
        <family val="2"/>
        <scheme val="minor"/>
      </rPr>
      <t xml:space="preserve">CORA - </t>
    </r>
    <r>
      <rPr>
        <b/>
        <sz val="20"/>
        <color theme="1"/>
        <rFont val="Calibri"/>
        <family val="2"/>
        <scheme val="minor"/>
      </rPr>
      <t>R</t>
    </r>
    <r>
      <rPr>
        <sz val="20"/>
        <color theme="1"/>
        <rFont val="Calibri"/>
        <family val="2"/>
        <scheme val="minor"/>
      </rPr>
      <t xml:space="preserve">isk </t>
    </r>
    <r>
      <rPr>
        <b/>
        <sz val="20"/>
        <color theme="1"/>
        <rFont val="Calibri"/>
        <family val="2"/>
        <scheme val="minor"/>
      </rPr>
      <t>A</t>
    </r>
    <r>
      <rPr>
        <sz val="20"/>
        <color theme="1"/>
        <rFont val="Calibri"/>
        <family val="2"/>
        <scheme val="minor"/>
      </rPr>
      <t xml:space="preserve">nalysis </t>
    </r>
    <r>
      <rPr>
        <b/>
        <sz val="20"/>
        <color theme="1"/>
        <rFont val="Calibri"/>
        <family val="2"/>
        <scheme val="minor"/>
      </rPr>
      <t>T</t>
    </r>
    <r>
      <rPr>
        <sz val="20"/>
        <color theme="1"/>
        <rFont val="Calibri"/>
        <family val="2"/>
        <scheme val="minor"/>
      </rPr>
      <t>ool</t>
    </r>
  </si>
  <si>
    <t>Here is a short categorisation of the tabs in the table:</t>
  </si>
  <si>
    <t>-</t>
  </si>
  <si>
    <t>The green tabs are providing basic input for the risk calculation.</t>
  </si>
  <si>
    <t>The blue tabs support the threat analysis.</t>
  </si>
  <si>
    <t>The yellow tab shows the system requirements.</t>
  </si>
  <si>
    <t>The red tab shows risk evaluations and the future risk analysis.</t>
  </si>
  <si>
    <t>Assessment Authors:</t>
  </si>
  <si>
    <t xml:space="preserve">Template Version: </t>
  </si>
  <si>
    <t>3.01</t>
  </si>
  <si>
    <t xml:space="preserve">Template Publisher: </t>
  </si>
  <si>
    <t xml:space="preserve">ERTMS Users Group </t>
  </si>
  <si>
    <t xml:space="preserve">Copyright EUG, EULYNX and OCORA partners.  </t>
  </si>
  <si>
    <t xml:space="preserve">All information included or disclosed in this document is licensed under the European Union Public License </t>
  </si>
  <si>
    <t xml:space="preserve">EUPL, Version 1.2. </t>
  </si>
  <si>
    <t xml:space="preserve">Template Authors: </t>
  </si>
  <si>
    <t>see Template_Changelog</t>
  </si>
  <si>
    <t xml:space="preserve">Document Changelog </t>
  </si>
  <si>
    <t>Document Version</t>
  </si>
  <si>
    <t>Date</t>
  </si>
  <si>
    <t>Change Description</t>
  </si>
  <si>
    <t>Author</t>
  </si>
  <si>
    <t>0.01</t>
  </si>
  <si>
    <t>Zone Name:</t>
  </si>
  <si>
    <t>ZoneXX</t>
  </si>
  <si>
    <t>Description</t>
  </si>
  <si>
    <t>Zone Definition</t>
  </si>
  <si>
    <t>Overall Assumptions</t>
  </si>
  <si>
    <t>Expected Implementation</t>
  </si>
  <si>
    <t>Connections (via Conduits) taken into consideration in this Zone Assessment</t>
  </si>
  <si>
    <t>Threats</t>
  </si>
  <si>
    <t>Risk</t>
  </si>
  <si>
    <t>G-3a (Threat Catalogue)</t>
  </si>
  <si>
    <t>G-3b (FR)</t>
  </si>
  <si>
    <t>G-4a</t>
  </si>
  <si>
    <t>G-4c</t>
  </si>
  <si>
    <t>G-4d</t>
  </si>
  <si>
    <t>G-4b</t>
  </si>
  <si>
    <t>Maximum 
Impact</t>
  </si>
  <si>
    <t>Threat Name</t>
  </si>
  <si>
    <t>IAC</t>
  </si>
  <si>
    <t>UC</t>
  </si>
  <si>
    <t>SI</t>
  </si>
  <si>
    <t>DC</t>
  </si>
  <si>
    <t>RDF</t>
  </si>
  <si>
    <t>TRE</t>
  </si>
  <si>
    <t>RA</t>
  </si>
  <si>
    <t>Relevance</t>
  </si>
  <si>
    <t>Exposure</t>
  </si>
  <si>
    <t>Vulnerability</t>
  </si>
  <si>
    <t>Likelihood</t>
  </si>
  <si>
    <t>Impact
C</t>
  </si>
  <si>
    <t>Impact
C-Value</t>
  </si>
  <si>
    <t>Impact
I</t>
  </si>
  <si>
    <t>Impact
I -Value</t>
  </si>
  <si>
    <t>Impact
A</t>
  </si>
  <si>
    <t>Impact
A-Value</t>
  </si>
  <si>
    <t>Impact
Max</t>
  </si>
  <si>
    <t>Risk
C</t>
  </si>
  <si>
    <t>Risk
I</t>
  </si>
  <si>
    <t>Risk
A</t>
  </si>
  <si>
    <t>Risk
Max</t>
  </si>
  <si>
    <t>SL
C</t>
  </si>
  <si>
    <t>SL
I</t>
  </si>
  <si>
    <t>SL
A</t>
  </si>
  <si>
    <t>IAC_Value</t>
  </si>
  <si>
    <t>UC_Value</t>
  </si>
  <si>
    <t>SI_Value</t>
  </si>
  <si>
    <t>DC_Value</t>
  </si>
  <si>
    <t>RDF_Value</t>
  </si>
  <si>
    <t>TRE_Value</t>
  </si>
  <si>
    <t>RA_Value</t>
  </si>
  <si>
    <t>Explanation / Reason why not relevant</t>
  </si>
  <si>
    <t>G 0.13 Interception of Compromising Interference Signals</t>
  </si>
  <si>
    <t>C</t>
  </si>
  <si>
    <t>A</t>
  </si>
  <si>
    <t xml:space="preserve">G 0.14 Interception of Information / Espionage </t>
  </si>
  <si>
    <t>D</t>
  </si>
  <si>
    <t>G 0.15 Eavesdropping</t>
  </si>
  <si>
    <t>B</t>
  </si>
  <si>
    <t>G 0.16 Theft of Devices, Storage Media and Documents</t>
  </si>
  <si>
    <t>CA</t>
  </si>
  <si>
    <t>G 0.17 Loss of Devices, Storage Media and Documents</t>
  </si>
  <si>
    <t>No</t>
  </si>
  <si>
    <t>G 0.19 Disclosure of Sensitive Information</t>
  </si>
  <si>
    <t>G 0.20 Information or Products from an Unreliable Source</t>
  </si>
  <si>
    <t>I</t>
  </si>
  <si>
    <t>G 0.21 Manipulation of Hardware or Software</t>
  </si>
  <si>
    <t>CIA</t>
  </si>
  <si>
    <t>IA</t>
  </si>
  <si>
    <t>G 0.22 Manipulation of Information</t>
  </si>
  <si>
    <t>G 0.23 Unauthorised Access to IT Systems</t>
  </si>
  <si>
    <t>G 0.24 Destruction of Devices or Storage Media</t>
  </si>
  <si>
    <t>G 0.28 Software Vulnerabilities or Errors</t>
  </si>
  <si>
    <t>G 0.30 Unauthorised Use or Administration of Devices and Systems</t>
  </si>
  <si>
    <t>G 0.31 Incorrect Use or Administration of Devices and Systems</t>
  </si>
  <si>
    <t>G 0.32 Misuse of Authorisation</t>
  </si>
  <si>
    <t>G 0.35 Coercion, Blackmail or Corruption</t>
  </si>
  <si>
    <t>G 0.36 Identity Theft</t>
  </si>
  <si>
    <t>G 0.37 Repudiation of Actions</t>
  </si>
  <si>
    <t>G 0.38 Misuse of Personal Information</t>
  </si>
  <si>
    <t>G 0.39 Malware</t>
  </si>
  <si>
    <t>G 0.40 Denial of Service</t>
  </si>
  <si>
    <t>G 0.42 Social Engineering</t>
  </si>
  <si>
    <t>G 0.43 Attack with Specially Crafted Messages</t>
  </si>
  <si>
    <t>G 0.44 Unauthorised Entry to Premises</t>
  </si>
  <si>
    <t>G 0.45 Data Loss</t>
  </si>
  <si>
    <t>G 0.46 Loss of Integrity of Sensitive Information</t>
  </si>
  <si>
    <t>G 0.47 Harmful Side Effects of IT-Supported Attacks</t>
  </si>
  <si>
    <t>IND.1.2 Insufficient integration of OT into the security organisation</t>
  </si>
  <si>
    <t>IND.1.3 Insufficient integration of OT into operational processes</t>
  </si>
  <si>
    <t>IND.1.4 Insufficient access protection</t>
  </si>
  <si>
    <t>IND.1.7 Insufficient monitoring and detection procedures</t>
  </si>
  <si>
    <t>IND.1.8 Insufficient test concept</t>
  </si>
  <si>
    <t>IND.1.9 Insufficient life cycle concepts</t>
  </si>
  <si>
    <t>IND.1.10 Insufficient security requirements for procurement</t>
  </si>
  <si>
    <t>IND.1.12 Insecure configurations of components</t>
  </si>
  <si>
    <t>IND.1.13 Dependencies of OT on IT networks</t>
  </si>
  <si>
    <t>IND.2.1.2 Insufficient user and authorisation management</t>
  </si>
  <si>
    <t>IND.2.1.3 Insufficient logging</t>
  </si>
  <si>
    <t>IND.2.1.9 Manipulated firmware</t>
  </si>
  <si>
    <t>IND.2.2.1 Incomplete documentation</t>
  </si>
  <si>
    <t>IND.3.2.1 Incompletely documented remote maintenance access in the OT</t>
  </si>
  <si>
    <t>IND.3.2.2 Insufficient availability due to dependencies on office and building IT</t>
  </si>
  <si>
    <t>IND.3.2.3 Insufficient regulations for the use of OT remote maintenance access</t>
  </si>
  <si>
    <t>IND.3.2.4 Insufficient human oversight over OT remote maintenance sessions</t>
  </si>
  <si>
    <t>IND.3.2.5 Direct IP-based access to systems from insecure zones</t>
  </si>
  <si>
    <t>IND.3.2.6 Insecure alternative OT remote maintenance access in the event of faults</t>
  </si>
  <si>
    <t>IND.3.2.7 Insecure design of OT remote maintenance accesses</t>
  </si>
  <si>
    <t>IND.3.2.8 Outdated technical concepts for OT remote maintenance access</t>
  </si>
  <si>
    <t>CON.1.1 Insufficient key management for encryption</t>
  </si>
  <si>
    <t>CON.1.8 Compromise of cryptographic keys</t>
  </si>
  <si>
    <t>CON.1.9 Forged certificates</t>
  </si>
  <si>
    <t>CON.3.1 Missing data backup</t>
  </si>
  <si>
    <t>CON.3.2 Missing recovery tests</t>
  </si>
  <si>
    <t>OPS.1.1.3.5 Problems with the automated distribution of patches and changes</t>
  </si>
  <si>
    <t>OPS.1.1.3.6 Insufficient recovery options for patch and change management</t>
  </si>
  <si>
    <t>OPS.1.1.3.8 Manipulation of data and tools during patch and change management</t>
  </si>
  <si>
    <t>SL-T Vector - G-4e</t>
  </si>
  <si>
    <t>SL - Consistency Check - G-8a</t>
  </si>
  <si>
    <t>SL - Maximum SR Selection Check - G-8b</t>
  </si>
  <si>
    <t xml:space="preserve">
Prefulfilled</t>
  </si>
  <si>
    <t>Planned after Mitigation</t>
  </si>
  <si>
    <t>Status</t>
  </si>
  <si>
    <t xml:space="preserve">
Prefullfilled</t>
  </si>
  <si>
    <t>Raw SL-A (P)</t>
  </si>
  <si>
    <t>Raw SL-A (P+M)</t>
  </si>
  <si>
    <t>Max SL-A</t>
  </si>
  <si>
    <t>Max SL-Fulfilled (P)</t>
  </si>
  <si>
    <t>Max SL-Fulfilled (P+M)</t>
  </si>
  <si>
    <t>Vector - G-6c</t>
  </si>
  <si>
    <t>Vector</t>
  </si>
  <si>
    <t>SL-T - G-6</t>
  </si>
  <si>
    <t>SL</t>
  </si>
  <si>
    <t>Risk - G-6</t>
  </si>
  <si>
    <t>Target Risk</t>
  </si>
  <si>
    <t>Low</t>
  </si>
  <si>
    <t>Use update filter function to see relevant requirements</t>
  </si>
  <si>
    <t>P = Prefulfilled
M = Mitigating</t>
  </si>
  <si>
    <t>Official ID (62443-3-3 -2013)</t>
  </si>
  <si>
    <t>FR</t>
  </si>
  <si>
    <t>lowest SL-T</t>
  </si>
  <si>
    <t>62443-3-3 2013</t>
  </si>
  <si>
    <t>Requirement Selected (Prefulfilled)</t>
  </si>
  <si>
    <t>Requirement Selected (Prefulfilled or Revoked)</t>
  </si>
  <si>
    <t>Requirement Selected (Prefulfilled + Mitigating)</t>
  </si>
  <si>
    <t>Requirement Selected (Prefulfilled + Mitigating or Revoked)</t>
  </si>
  <si>
    <t>Relevance revoked</t>
  </si>
  <si>
    <t>Reason why the SR has not been selected and why it is not relevant.</t>
  </si>
  <si>
    <t>SR 1.1</t>
  </si>
  <si>
    <t>SR 1.1 RE 1</t>
  </si>
  <si>
    <t>SR 1.1 RE 2</t>
  </si>
  <si>
    <t>SR 1.1 RE 3</t>
  </si>
  <si>
    <t>SR 1.2 RE 1</t>
  </si>
  <si>
    <t>SR 1.3</t>
  </si>
  <si>
    <t>SR 1.3 RE 1</t>
  </si>
  <si>
    <t>SR 1.4</t>
  </si>
  <si>
    <t>SR 1.5</t>
  </si>
  <si>
    <t>SR 1.5 RE 1</t>
  </si>
  <si>
    <t>SR 1.6</t>
  </si>
  <si>
    <t>SR 1.6. RE 1</t>
  </si>
  <si>
    <t>SR 1.7</t>
  </si>
  <si>
    <t>SR 1.7 RE 1</t>
  </si>
  <si>
    <t>SR 1.7 RE 2</t>
  </si>
  <si>
    <t>SR 1.9</t>
  </si>
  <si>
    <t>SR 1.9 RE 1</t>
  </si>
  <si>
    <t>SR 1.10</t>
  </si>
  <si>
    <t>SR 1.11</t>
  </si>
  <si>
    <t>SR 1.12</t>
  </si>
  <si>
    <t>SR 1.13</t>
  </si>
  <si>
    <t>SR 1.13 RE 1</t>
  </si>
  <si>
    <t>SR 2.1</t>
  </si>
  <si>
    <t>SR 2.1 RE 1</t>
  </si>
  <si>
    <t>SR 2.1 RE 2</t>
  </si>
  <si>
    <t>SR 2.1 RE 3</t>
  </si>
  <si>
    <t>SR 2.1 RE 4</t>
  </si>
  <si>
    <t>SR 2.2</t>
  </si>
  <si>
    <t>SR 2.2 RE 1</t>
  </si>
  <si>
    <t>SR 2.3</t>
  </si>
  <si>
    <t>SR 2.3 RE 1</t>
  </si>
  <si>
    <t>SR 2.4</t>
  </si>
  <si>
    <t>SR 2.4 RE 1</t>
  </si>
  <si>
    <t>SR 2.5</t>
  </si>
  <si>
    <t>SR 2.6</t>
  </si>
  <si>
    <t>SR 2.7</t>
  </si>
  <si>
    <t>SR 2.8</t>
  </si>
  <si>
    <t>SR 2.8 RE 1</t>
  </si>
  <si>
    <t>SR 2.9</t>
  </si>
  <si>
    <t>SR 2.9 RE 1</t>
  </si>
  <si>
    <t>SR 2.10</t>
  </si>
  <si>
    <t>SR 2.11</t>
  </si>
  <si>
    <t>SR 2.11 RE 1</t>
  </si>
  <si>
    <t>SR 2.11 RE 2</t>
  </si>
  <si>
    <t>SR 2.12</t>
  </si>
  <si>
    <t>SR 2.12 RE 1</t>
  </si>
  <si>
    <t>SR 3.1</t>
  </si>
  <si>
    <t xml:space="preserve">SR 3.1 RE 1 </t>
  </si>
  <si>
    <t>SR 3.2</t>
  </si>
  <si>
    <t>SR 3.2 RE 1</t>
  </si>
  <si>
    <t>SR 3.2 RE 2</t>
  </si>
  <si>
    <t>SR 3.3</t>
  </si>
  <si>
    <t>SR 3.3 RE 1</t>
  </si>
  <si>
    <t>SR 3.3 RE 2</t>
  </si>
  <si>
    <t>SR 3.4</t>
  </si>
  <si>
    <t>SR 3.4 RE 1</t>
  </si>
  <si>
    <t>SR 3.5</t>
  </si>
  <si>
    <t>SR 3.6</t>
  </si>
  <si>
    <t>SR 3.7</t>
  </si>
  <si>
    <t>SR 3.8</t>
  </si>
  <si>
    <t>SR 3.8 RE 1</t>
  </si>
  <si>
    <t>SR 3.8 RE 2</t>
  </si>
  <si>
    <t>SR 3.8 RE 3</t>
  </si>
  <si>
    <t>SR 3.9</t>
  </si>
  <si>
    <t>SR 3.9 RE 1</t>
  </si>
  <si>
    <t>SR 4.1</t>
  </si>
  <si>
    <t>SR 4.1 RE 1</t>
  </si>
  <si>
    <t>SR 4.1 RE 2</t>
  </si>
  <si>
    <t>SR 4.2</t>
  </si>
  <si>
    <t>SR 4.2 RE 1</t>
  </si>
  <si>
    <t>SR 4.3</t>
  </si>
  <si>
    <t>SR 5.1</t>
  </si>
  <si>
    <t>SR 5.1 RE 1</t>
  </si>
  <si>
    <t>SR 5.1 RE 2</t>
  </si>
  <si>
    <t>SR 5.1 RE 3</t>
  </si>
  <si>
    <t>SR 5.2</t>
  </si>
  <si>
    <t>SR 5.2 RE 1</t>
  </si>
  <si>
    <t>SR 5.2 RE 2</t>
  </si>
  <si>
    <t>SR 5.2 RE 3</t>
  </si>
  <si>
    <t>SR 5.3</t>
  </si>
  <si>
    <t>SR 5.3 RE 1</t>
  </si>
  <si>
    <t>SR 5.4</t>
  </si>
  <si>
    <t>SR 6.1</t>
  </si>
  <si>
    <t>SR 6.1 RE 1</t>
  </si>
  <si>
    <t>SR 6.2</t>
  </si>
  <si>
    <t>SR 7.1</t>
  </si>
  <si>
    <t>SR 7.1 RE 1</t>
  </si>
  <si>
    <t>SR 7.1 RE 2</t>
  </si>
  <si>
    <t>SR 7.2</t>
  </si>
  <si>
    <t>SR 7.3</t>
  </si>
  <si>
    <t>SR 7.3 RE 1</t>
  </si>
  <si>
    <t>SR 7.3 RE 2</t>
  </si>
  <si>
    <t>SR 7.4</t>
  </si>
  <si>
    <t>SR 7.5</t>
  </si>
  <si>
    <t>SR 7.6</t>
  </si>
  <si>
    <t>SR 7.6 RE 1</t>
  </si>
  <si>
    <t>SR 7.7</t>
  </si>
  <si>
    <t>SR 7.8</t>
  </si>
  <si>
    <t>Official ID (62443-2-1 -2020)</t>
  </si>
  <si>
    <t>62443-2-1 2020</t>
  </si>
  <si>
    <t>Requirement Selected</t>
  </si>
  <si>
    <t>ORG 1.1</t>
  </si>
  <si>
    <t>ORG 1.2</t>
  </si>
  <si>
    <t>ORG 1.3</t>
  </si>
  <si>
    <t>ORG 1.4</t>
  </si>
  <si>
    <t>ORG 1.5</t>
  </si>
  <si>
    <t>ORG 1.6</t>
  </si>
  <si>
    <t>ORG 2.1</t>
  </si>
  <si>
    <t>ORG 2.2</t>
  </si>
  <si>
    <t>ORG 2.3</t>
  </si>
  <si>
    <t>ORG 2.4</t>
  </si>
  <si>
    <t>ORG 3.1</t>
  </si>
  <si>
    <t>CM 1.1</t>
  </si>
  <si>
    <t>CM 1.2</t>
  </si>
  <si>
    <t>CM 1.3</t>
  </si>
  <si>
    <t>CM 1.4</t>
  </si>
  <si>
    <t>NET 1.1</t>
  </si>
  <si>
    <t>NET 1.2</t>
  </si>
  <si>
    <t>NET 1.3</t>
  </si>
  <si>
    <t>NET 1.4</t>
  </si>
  <si>
    <t>NET 1.5</t>
  </si>
  <si>
    <t>NET 1.6</t>
  </si>
  <si>
    <t>NET 1.7</t>
  </si>
  <si>
    <t>NET 1.8</t>
  </si>
  <si>
    <t>NET 1.9</t>
  </si>
  <si>
    <t>NET 1.10</t>
  </si>
  <si>
    <t>NET 2.1</t>
  </si>
  <si>
    <t>NET 2.2</t>
  </si>
  <si>
    <t>NET 2.3</t>
  </si>
  <si>
    <t>NET 3.1</t>
  </si>
  <si>
    <t>NET 3.2</t>
  </si>
  <si>
    <t>NET 3.3</t>
  </si>
  <si>
    <t>COMP 1.1</t>
  </si>
  <si>
    <t>COMP 1.2</t>
  </si>
  <si>
    <t>COMP 2.1</t>
  </si>
  <si>
    <t>COMP 2.2</t>
  </si>
  <si>
    <t>COMP 2.3</t>
  </si>
  <si>
    <t>COMP 3.1</t>
  </si>
  <si>
    <t>COMP 3.2</t>
  </si>
  <si>
    <t>COMP 3.3</t>
  </si>
  <si>
    <t>COMP 3.4</t>
  </si>
  <si>
    <t>COMP 3.5</t>
  </si>
  <si>
    <t>DATA 1.1</t>
  </si>
  <si>
    <t>DATA 1.2</t>
  </si>
  <si>
    <t>DATA 1.3</t>
  </si>
  <si>
    <t>DATA 1.4</t>
  </si>
  <si>
    <t>DATA 1.5</t>
  </si>
  <si>
    <t>DATA 1.6</t>
  </si>
  <si>
    <t>DATA 1.7</t>
  </si>
  <si>
    <t>DATA 1.8</t>
  </si>
  <si>
    <t>DATA 1.9</t>
  </si>
  <si>
    <t>USER 1.1</t>
  </si>
  <si>
    <t>USER 1.2</t>
  </si>
  <si>
    <t>USER 1.3</t>
  </si>
  <si>
    <t>USER 1.4</t>
  </si>
  <si>
    <t>USER 1.5</t>
  </si>
  <si>
    <t>USER 1.6</t>
  </si>
  <si>
    <t>USER 1.7</t>
  </si>
  <si>
    <t>USER 1.8</t>
  </si>
  <si>
    <t>USER 1.9</t>
  </si>
  <si>
    <t>USER 1.10</t>
  </si>
  <si>
    <t>USER 1.11</t>
  </si>
  <si>
    <t>USER 1.12</t>
  </si>
  <si>
    <t>USER 1.13</t>
  </si>
  <si>
    <t>USER 1.14</t>
  </si>
  <si>
    <t>USER 1.15</t>
  </si>
  <si>
    <t>USER 1.16</t>
  </si>
  <si>
    <t>USER 1.17</t>
  </si>
  <si>
    <t>USER 1.18</t>
  </si>
  <si>
    <t>USER 2.1</t>
  </si>
  <si>
    <t>USER 2.2</t>
  </si>
  <si>
    <t>USER 2.3</t>
  </si>
  <si>
    <t>USER 2.4</t>
  </si>
  <si>
    <t>EVENT 1.1</t>
  </si>
  <si>
    <t>EVENT 1.2</t>
  </si>
  <si>
    <t>EVENT 1.3</t>
  </si>
  <si>
    <t>EVENT 1.4</t>
  </si>
  <si>
    <t>EVENT 1.5</t>
  </si>
  <si>
    <t>EVENT 1.6</t>
  </si>
  <si>
    <t>EVENT 1.7</t>
  </si>
  <si>
    <t>EVENT 1.8</t>
  </si>
  <si>
    <t>EVENT 1.9</t>
  </si>
  <si>
    <t>AVAIL 1.1</t>
  </si>
  <si>
    <t>AVAIL 1.2</t>
  </si>
  <si>
    <t>AVIAL 1.3</t>
  </si>
  <si>
    <t>AVAIL 2.1</t>
  </si>
  <si>
    <t>AVAIL 2.2</t>
  </si>
  <si>
    <t>AVAIL 2.3</t>
  </si>
  <si>
    <t>AVAIL 2.4</t>
  </si>
  <si>
    <t>AVAIL 2.5</t>
  </si>
  <si>
    <t xml:space="preserve">Target Risk: </t>
  </si>
  <si>
    <t>Prefulfilled
G-6b</t>
  </si>
  <si>
    <t>Risk Assessment - unmitigated Risk Assessment (with only prefulfilled measures) - G-6b</t>
  </si>
  <si>
    <t>Compensation Measures - G-6e</t>
  </si>
  <si>
    <t>Risk Delta</t>
  </si>
  <si>
    <t>System Requirements - G-6c</t>
  </si>
  <si>
    <t>Risk Assessment - G-6d</t>
  </si>
  <si>
    <t>Final Risk Assessment - G-6f</t>
  </si>
  <si>
    <t>Threat Catalogue</t>
  </si>
  <si>
    <t>Covered by / Reference to - G-6a</t>
  </si>
  <si>
    <t>Reason for reference to other threat - G-6a</t>
  </si>
  <si>
    <t>Prefulfilled SRs</t>
  </si>
  <si>
    <t>Prefulfilled Measures</t>
  </si>
  <si>
    <t>Exposure - G-6b</t>
  </si>
  <si>
    <r>
      <t xml:space="preserve">Exposure - 
G-6b
</t>
    </r>
    <r>
      <rPr>
        <b/>
        <sz val="11"/>
        <color rgb="FFC00000"/>
        <rFont val="Calibri"/>
        <family val="2"/>
        <scheme val="minor"/>
      </rPr>
      <t>Override</t>
    </r>
  </si>
  <si>
    <t>Vulnerability - 
G-6b</t>
  </si>
  <si>
    <r>
      <t xml:space="preserve">Vulnerability - 
G-6b
</t>
    </r>
    <r>
      <rPr>
        <b/>
        <sz val="11"/>
        <color rgb="FFC00000"/>
        <rFont val="Calibri"/>
        <family val="2"/>
        <scheme val="minor"/>
      </rPr>
      <t>Override</t>
    </r>
  </si>
  <si>
    <t>Likelihood - 6b</t>
  </si>
  <si>
    <t>Impact - G-6b</t>
  </si>
  <si>
    <r>
      <t xml:space="preserve">Impact - 
G-6b
</t>
    </r>
    <r>
      <rPr>
        <b/>
        <sz val="11"/>
        <color rgb="FFC00000"/>
        <rFont val="Calibri"/>
        <family val="2"/>
        <scheme val="minor"/>
      </rPr>
      <t>Override</t>
    </r>
  </si>
  <si>
    <t>Actual Risk - 
G-6b</t>
  </si>
  <si>
    <t>Risk Delta - 
G-6b</t>
  </si>
  <si>
    <t>Measure (SR) from 
62443-3-3</t>
  </si>
  <si>
    <t>Explanations for SRs</t>
  </si>
  <si>
    <t>Exposure - G-6d</t>
  </si>
  <si>
    <t>Vulnerability - 
G-6d</t>
  </si>
  <si>
    <t>Likelihood - 
G-6d</t>
  </si>
  <si>
    <t>Impact - G-6d</t>
  </si>
  <si>
    <t>Actual Risk - 
G-6d</t>
  </si>
  <si>
    <t>Risk Delta - 
G-6d</t>
  </si>
  <si>
    <t>Measures from
 62443-2-1</t>
  </si>
  <si>
    <t>Compensating measures and explanations</t>
  </si>
  <si>
    <t>Measure IDs</t>
  </si>
  <si>
    <t>Exposure - 
G-6f</t>
  </si>
  <si>
    <t>Vulnerability - 
G-6f</t>
  </si>
  <si>
    <t>Likelihood - 
G-6f</t>
  </si>
  <si>
    <t>Actual Risk - 
G-6f</t>
  </si>
  <si>
    <t>Final Risk Delta G-6f</t>
  </si>
  <si>
    <t>Risk acceptance 
Explanation
G-6e</t>
  </si>
  <si>
    <t>Explanation (e.g. for Exposure, Vulnerability, Impact)</t>
  </si>
  <si>
    <t>Impact</t>
  </si>
  <si>
    <t>Human health and safety</t>
  </si>
  <si>
    <t>Operational availability</t>
  </si>
  <si>
    <t>Financial impact</t>
  </si>
  <si>
    <t>One or several fatalities</t>
  </si>
  <si>
    <t>Most of operations disturbed during more than 1 week</t>
  </si>
  <si>
    <t>Could lead to organization bankrupt</t>
  </si>
  <si>
    <t>Several severe or critical injuries</t>
  </si>
  <si>
    <t>Most of operation disturbed between 1 day and 1 week. Important operation disturbed during more than 1 week</t>
  </si>
  <si>
    <t>Impact in a significant way the organization annual budget (&gt; 10% of revenue)</t>
  </si>
  <si>
    <t>One severe injury or several injuries requiring hospitalization</t>
  </si>
  <si>
    <t>Most of operation disturbed between 1 hour and 1 day. Important operation disturbed between 1 day and 1 week</t>
  </si>
  <si>
    <t>Impact in a significant way the organization annual benefits.</t>
  </si>
  <si>
    <t>One injury requiring hospitalization or several light injuries (not requiring any hospitalization)</t>
  </si>
  <si>
    <t>Important operation disturbed less than 1 day.</t>
  </si>
  <si>
    <t>Impact not visible on annual basis</t>
  </si>
  <si>
    <t>Definition of Impact classes, TS50701 chapter 6.3.1</t>
  </si>
  <si>
    <t>CIA Definition</t>
  </si>
  <si>
    <t>Confidentiality</t>
  </si>
  <si>
    <t>Integrity</t>
  </si>
  <si>
    <t>Availability</t>
  </si>
  <si>
    <t>Rating</t>
  </si>
  <si>
    <t>Exposure (EXP)</t>
  </si>
  <si>
    <t>Vulnerability (VUL)</t>
  </si>
  <si>
    <t>The vulnerability rating is not adressing a specific vulnerabilty, but the exploitability of the system.</t>
  </si>
  <si>
    <t>Highly restricted logical or physical access for attacker, e.g.</t>
  </si>
  <si>
    <t xml:space="preserve">- Successful attack is only possible for a small group of attackers with high hacking skills (high capabilities needed) </t>
  </si>
  <si>
    <t xml:space="preserve"> - Vulnerability is only exploitable with high effort, and if strong technical difficulties can be solved, non-public information about inner workings of system is required</t>
  </si>
  <si>
    <t>- State of the art security measures to counter the threat</t>
  </si>
  <si>
    <t>- High chance for attacker to be traced and prosecuted</t>
  </si>
  <si>
    <t xml:space="preserve">Restricted logical or physical access for attacker, e.g.  </t>
  </si>
  <si>
    <t>- Successful attack is feasible for an attacker with average hacking skills (medium capabilities needed)</t>
  </si>
  <si>
    <t xml:space="preserve">    - internal network access required, or</t>
  </si>
  <si>
    <t xml:space="preserve"> - Vulnerability is exploitable with medium effort, requiring special technology, domain or tool knowledge</t>
  </si>
  <si>
    <t xml:space="preserve">    - restricted physical access, or</t>
  </si>
  <si>
    <t>- Some security measures to counter the threat</t>
  </si>
  <si>
    <t xml:space="preserve">    - product or components can be acquired by attacker with  
       medium effort</t>
  </si>
  <si>
    <t>- Medium chance for attacker to be traced and prosecuted</t>
  </si>
  <si>
    <t>Easy logical or physical access for attacker, e.g.</t>
  </si>
  <si>
    <t>- Successful attack is easy to perform, even for an unskilled attacker (little capabilities needed)</t>
  </si>
  <si>
    <t xml:space="preserve">    - Internet access sufficient, or</t>
  </si>
  <si>
    <t xml:space="preserve"> - Vulnerability can be exploited easily with low effort, since no tools are required, or suitable attack tools freely exist.</t>
  </si>
  <si>
    <t xml:space="preserve">    - public physical access, or</t>
  </si>
  <si>
    <t xml:space="preserve"> - No or only weak security measures to counter the attack caused by the threat</t>
  </si>
  <si>
    <t xml:space="preserve">    - attacker has access as part of daily work, operation, or
       maintenance activities, or</t>
  </si>
  <si>
    <t>- Low chance for attacker to be traced and prosecuted</t>
  </si>
  <si>
    <t>threat impact</t>
  </si>
  <si>
    <t>likelihood</t>
  </si>
  <si>
    <t>Medium</t>
  </si>
  <si>
    <t>Significant</t>
  </si>
  <si>
    <t>High</t>
  </si>
  <si>
    <t>Very high</t>
  </si>
  <si>
    <t>Value</t>
  </si>
  <si>
    <t xml:space="preserve">ERORAT Template Changelog </t>
  </si>
  <si>
    <t>Template Version</t>
  </si>
  <si>
    <t>1.0</t>
  </si>
  <si>
    <t>Initial ERORAT Template</t>
  </si>
  <si>
    <t>Ulrich Meier
Max Schubert
Richard Poschinger</t>
  </si>
  <si>
    <t>2.00</t>
  </si>
  <si>
    <t>- New FA mapping
- Fine grained SL Calculation
- Split into one file per zone
- Updated to table formatting and added human readable formulas
- Selection of SR based on SL per FR
- Removed macros</t>
  </si>
  <si>
    <t>Markus Heinrich
Richard Poschinger</t>
  </si>
  <si>
    <t>2.01</t>
  </si>
  <si>
    <t>- Fixed Calculation of SL</t>
  </si>
  <si>
    <t>Richard Poschinger</t>
  </si>
  <si>
    <t>2.02</t>
  </si>
  <si>
    <t>- Cross Reference Table for 62443 Measures including automatic evaluation</t>
  </si>
  <si>
    <t>2.03</t>
  </si>
  <si>
    <t>- Improved BSI G0 Threats translation
- Fixed SR Overview</t>
  </si>
  <si>
    <t>2.04</t>
  </si>
  <si>
    <t>- Improved BSI G0 Threats translation</t>
  </si>
  <si>
    <t>2.05</t>
  </si>
  <si>
    <t>- Added new BSI G0 Threat</t>
  </si>
  <si>
    <t>2.06</t>
  </si>
  <si>
    <t>- Minor design changes
- Typos</t>
  </si>
  <si>
    <t>2.07</t>
  </si>
  <si>
    <t>- Fixed SR Overview
- Target Risk definition in Attacker Threat Zone</t>
  </si>
  <si>
    <t>2.08</t>
  </si>
  <si>
    <t>- Fixed not displaying all Measures</t>
  </si>
  <si>
    <t>2.09</t>
  </si>
  <si>
    <t>- Fixed wrong SL of SR 4.2 RE 1
- Fixed wrong SL of SR 6.1 (RE 1)
- Fixed wrong SR number and SL of SR 6.2</t>
  </si>
  <si>
    <t>2.10</t>
  </si>
  <si>
    <t>- Removed unused hidden sheets</t>
  </si>
  <si>
    <t>2.11</t>
  </si>
  <si>
    <t>- New SL definition based on impact</t>
  </si>
  <si>
    <t>2.12</t>
  </si>
  <si>
    <t>- Adjusted default FR to Threat mapping</t>
  </si>
  <si>
    <t>2.13</t>
  </si>
  <si>
    <t>- Fixed impact definition in risk evaluation</t>
  </si>
  <si>
    <t>2.14</t>
  </si>
  <si>
    <t>- Improved background pattern of input fields
- Display usage of SR</t>
  </si>
  <si>
    <t>2.15</t>
  </si>
  <si>
    <t>- Labels according to new security guideline
- Impact definition fixed</t>
  </si>
  <si>
    <t>2.16</t>
  </si>
  <si>
    <t>- Added description column for SRs
- Removed obsolete target risk column
- New coloured highlightning of risk and risk delta</t>
  </si>
  <si>
    <t>2.17</t>
  </si>
  <si>
    <t>- Add descriptions according to new guideline</t>
  </si>
  <si>
    <t>Roger Metz
Richard Poschinger</t>
  </si>
  <si>
    <t>2.18</t>
  </si>
  <si>
    <t>- Added defintion of attacker type</t>
  </si>
  <si>
    <t>2.19</t>
  </si>
  <si>
    <t>- Moved explanation for relevance
- Fixed typos</t>
  </si>
  <si>
    <t>2.20</t>
  </si>
  <si>
    <t>- Improved overview in risk evaluation</t>
  </si>
  <si>
    <t>2.21</t>
  </si>
  <si>
    <t>- Improved risk evaluation structure
- Removed prefilled example data
- Improved FR prefilled data</t>
  </si>
  <si>
    <t>2.22</t>
  </si>
  <si>
    <t>- Fixed reference to Guideline</t>
  </si>
  <si>
    <t>2.23</t>
  </si>
  <si>
    <t>- Fixed Risk definition
- Optimized Risk Evaluation and Threats Layout</t>
  </si>
  <si>
    <t>2.24</t>
  </si>
  <si>
    <t>- Fixed an error in the SR overview of the risk evaluation (which had no impact)</t>
  </si>
  <si>
    <t>2.25</t>
  </si>
  <si>
    <t>- Fixed not showing SR 7.8 in Overview</t>
  </si>
  <si>
    <t>2.26</t>
  </si>
  <si>
    <t>- Added a Heatmap to the measurements showing which measures were picked most for which threat</t>
  </si>
  <si>
    <t>Mario Freund</t>
  </si>
  <si>
    <t>2.27</t>
  </si>
  <si>
    <t>- Fixed Impact Dropdown</t>
  </si>
  <si>
    <t>2.28</t>
  </si>
  <si>
    <t>- Updated Heatmap
- Improved FR Mapping
- New 62443-2-1 selection functionality</t>
  </si>
  <si>
    <t>Mario Freund
Martin Koop
Richard Poschinger</t>
  </si>
  <si>
    <t>2.29</t>
  </si>
  <si>
    <t xml:space="preserve">- Minor Improvements of SRs </t>
  </si>
  <si>
    <t>Leon Hagemann</t>
  </si>
  <si>
    <t>2.30</t>
  </si>
  <si>
    <t>- Added information for publishment on EUG website</t>
  </si>
  <si>
    <t>2.31</t>
  </si>
  <si>
    <t>- Removed dependency on hidden sheets</t>
  </si>
  <si>
    <t>2.32</t>
  </si>
  <si>
    <t>- Update translation of threats according to new BSI document</t>
  </si>
  <si>
    <t>2.33</t>
  </si>
  <si>
    <t>- Updated reference to Guideline</t>
  </si>
  <si>
    <t>2.34</t>
  </si>
  <si>
    <t>- SR Prefulfilled
- Optimized Likelihood Formatting
- Added SL-A Evaluation</t>
  </si>
  <si>
    <t>Richard Poschinger
Tobias Wothge</t>
  </si>
  <si>
    <t>3.00</t>
  </si>
  <si>
    <t>- New Threat Catalogue
- SL-T Calculation improved
- New SL check methods</t>
  </si>
  <si>
    <t>Roger Metz
Markus Heinrich
Richard Poschinger</t>
  </si>
  <si>
    <t>- Removed maximum SL-T definition</t>
  </si>
  <si>
    <t>SR Overview Generator</t>
  </si>
  <si>
    <t>Category</t>
  </si>
  <si>
    <t>Intentional/Targeted</t>
  </si>
  <si>
    <t>Human Error/Unspecific</t>
  </si>
  <si>
    <t>Technical Failure</t>
  </si>
  <si>
    <t>Environmental Influences/Force Majeure</t>
  </si>
  <si>
    <t>Methods for Validation and Verification</t>
  </si>
  <si>
    <t>Inspection</t>
  </si>
  <si>
    <t xml:space="preserve">1st Article Inspection (FAI) </t>
  </si>
  <si>
    <t xml:space="preserve">Analysis </t>
  </si>
  <si>
    <t xml:space="preserve">Design Review </t>
  </si>
  <si>
    <t xml:space="preserve">Simulation </t>
  </si>
  <si>
    <t xml:space="preserve">Calculation </t>
  </si>
  <si>
    <t xml:space="preserve">Demonstration </t>
  </si>
  <si>
    <t>Routine Test</t>
  </si>
  <si>
    <t>Test</t>
  </si>
  <si>
    <t>Type test</t>
  </si>
  <si>
    <t>Certification</t>
  </si>
  <si>
    <t>3.02</t>
  </si>
  <si>
    <t>- Fixed SR5.2 RE 1 text
- Removed obsolte SL-Max definition</t>
  </si>
  <si>
    <t>3.03</t>
  </si>
  <si>
    <t>Markus Heinrich</t>
  </si>
  <si>
    <t>SR 1.2</t>
  </si>
  <si>
    <t>SR 1.8</t>
  </si>
  <si>
    <t>- Improved visibility of cells to fill in
- Highlight modified likelihood and impact values
- Highlight relevant threats in Measures tables</t>
  </si>
  <si>
    <t>Yes</t>
  </si>
  <si>
    <t>Impact - G-6f</t>
  </si>
  <si>
    <t>Justification for risk parameters</t>
  </si>
  <si>
    <t>Exp min</t>
  </si>
  <si>
    <t>Vul min</t>
  </si>
  <si>
    <t>IND.1.5 Insecure project planning process/application development process</t>
  </si>
  <si>
    <t>IND.1.6 Insecure administration concept and remote administration</t>
  </si>
  <si>
    <t>IND.1.11 Use of insecure protocols</t>
  </si>
  <si>
    <t>3.04</t>
  </si>
  <si>
    <t>- Fixed misclassification if maximum SL of FR is lower than 4</t>
  </si>
  <si>
    <t>3.05</t>
  </si>
  <si>
    <t>RSEG Explanation to EXP</t>
  </si>
  <si>
    <t>RSEG Explanation to VUL</t>
  </si>
  <si>
    <t>Attacker has the knowledge to identify and exploit novel vulnerabilties, e.g., by identifying previously unknown vulnerabilities, and creating new tools to exploit these vulnerabilites.</t>
  </si>
  <si>
    <t>- highly restricted network</t>
  </si>
  <si>
    <t>including, e.g., service protected by firewall controlling inbound connections AND interfaces protected by state-of-the-art access control</t>
  </si>
  <si>
    <t>Attacker has the technology, tools, money, and time to identify and exploit novel vulnerabilties, e.g., by identifying previously unknown vulnerabilities and creating new tools to exploit these vulnerabilites.</t>
  </si>
  <si>
    <t>and physical access, or</t>
  </si>
  <si>
    <t xml:space="preserve">including, e.g., equipment put behind physical control such as protected building with entrance control and cameras and multifactor access control. </t>
  </si>
  <si>
    <t>"Security by obscurity" can not be regarded as a valid indicator of security. [CWE-656] *</t>
  </si>
  <si>
    <t>Tracability and prosecutability are covered by the exposure of the zone and the quality of security measures. **</t>
  </si>
  <si>
    <t>Attacker has the knowledge to identify previously unknown vulnerabilities in well-known categories, adjust existing tools to exploit these vulnerabilites, and would be able to pass professional penetration testing exams.</t>
  </si>
  <si>
    <t>including, e.g., service protected by firewall controlling inbound connections OR interfaces protected by state-of-the-art access control</t>
  </si>
  <si>
    <t>Attacker has the technology, tools, and knowledge or the money and time to acquire or build necessary knowledge and  tools themselves.</t>
  </si>
  <si>
    <t xml:space="preserve">including, e.g., equipment put behind physical control such as protected building with entrance control. </t>
  </si>
  <si>
    <t>Attacker has the knowledge to utilize well-known tools including AI and public exploits</t>
  </si>
  <si>
    <t>including, e.g., API/HMI directly accessible via the internet
excluding, e.g., service protected by firewall controlling inbound connections OR interfaces protected by state-of-the-art access control</t>
  </si>
  <si>
    <t>including, e.g., personel without adequate background checks
excluding, e.g., personel with adequate personel background checks.</t>
  </si>
  <si>
    <t xml:space="preserve">    - product or components can be acquired by attacker with low effort</t>
  </si>
  <si>
    <t>*In contrast to the other criteria, the sole possibility of easy acquisition - while making exploitation easier - does not immediately increase exposure. In addition, security bugs have to be present in the product. 
We thus recommend to only use this criterium as a tie-breaker.</t>
  </si>
  <si>
    <t>** Prosecutability can only be guaranteed if physical proximity is necessary to perform an attack.
Tracability is created by implementing security measures.</t>
  </si>
  <si>
    <t>Legend:</t>
  </si>
  <si>
    <t>Original Definition</t>
  </si>
  <si>
    <t>Explanations added by RSEG</t>
  </si>
  <si>
    <t>Application of this criterion is not recommended</t>
  </si>
  <si>
    <r>
      <t xml:space="preserve">including, e.g., equipment exposed in the wide-open without adequate physical protection.
excluding, e.g., equipment put behind physical control such as protected building with entrance control and cameras. 
NOTE: There is equipment that may have physical interfaces that are </t>
    </r>
    <r>
      <rPr>
        <u/>
        <sz val="8"/>
        <color rgb="FF000000"/>
        <rFont val="Arial"/>
      </rPr>
      <t xml:space="preserve">not </t>
    </r>
    <r>
      <rPr>
        <sz val="8"/>
        <color rgb="FF000000"/>
        <rFont val="Arial"/>
      </rPr>
      <t>put behind physical protection (such as Object Controller interfaces), but they are still not considered to be Rating 3.</t>
    </r>
  </si>
  <si>
    <t>- Added RSEG explanations for likelihood</t>
  </si>
  <si>
    <t>Description removed in public version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</si>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</sst>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CIDFont+F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color rgb="FF9C5700"/>
      <name val="Arial"/>
      <family val="2"/>
    </font>
    <font>
      <sz val="10"/>
      <color rgb="FF9C0006"/>
      <name val="Arial"/>
      <family val="2"/>
    </font>
    <font>
      <b/>
      <sz val="12"/>
      <color rgb="FF000000"/>
      <name val="Calibri"/>
      <family val="2"/>
    </font>
    <font>
      <b/>
      <sz val="11"/>
      <color theme="1"/>
      <name val="Arial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theme="1" tint="0.1499984740745262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rgb="FF808080"/>
      <name val="Arial"/>
      <family val="2"/>
    </font>
    <font>
      <b/>
      <sz val="11"/>
      <color theme="1" tint="0.1499984740745262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Arial"/>
      <family val="2"/>
    </font>
    <font>
      <sz val="11"/>
      <name val="Calibri"/>
      <family val="2"/>
      <scheme val="minor"/>
    </font>
    <font>
      <sz val="72"/>
      <color rgb="FF00206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</font>
    <font>
      <sz val="8"/>
      <color theme="1"/>
      <name val="Arial"/>
    </font>
    <font>
      <sz val="8"/>
      <color theme="0" tint="-0.34998626667073579"/>
      <name val="Arial"/>
    </font>
    <font>
      <sz val="8"/>
      <color rgb="FF000000"/>
      <name val="Arial"/>
    </font>
    <font>
      <i/>
      <sz val="8"/>
      <color theme="1"/>
      <name val="Calibri"/>
      <family val="2"/>
      <scheme val="minor"/>
    </font>
    <font>
      <u/>
      <sz val="8"/>
      <color rgb="FF000000"/>
      <name val="Arial"/>
    </font>
  </fonts>
  <fills count="6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65D7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382D8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darkGray">
        <fgColor theme="2"/>
        <bgColor theme="4" tint="0.399945066682943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382D8"/>
        <bgColor auto="1"/>
      </patternFill>
    </fill>
    <fill>
      <patternFill patternType="solid">
        <fgColor rgb="FF008000"/>
        <bgColor rgb="FF008000"/>
      </patternFill>
    </fill>
    <fill>
      <patternFill patternType="solid">
        <fgColor rgb="FF329500"/>
        <bgColor rgb="FF329500"/>
      </patternFill>
    </fill>
    <fill>
      <patternFill patternType="solid">
        <fgColor rgb="FF72AA00"/>
        <bgColor rgb="FF72AA00"/>
      </patternFill>
    </fill>
    <fill>
      <patternFill patternType="solid">
        <fgColor rgb="FFBFBF00"/>
        <bgColor rgb="FFBFBF00"/>
      </patternFill>
    </fill>
    <fill>
      <patternFill patternType="solid">
        <fgColor rgb="FFD58E00"/>
        <bgColor rgb="FFD58E00"/>
      </patternFill>
    </fill>
    <fill>
      <patternFill patternType="solid">
        <fgColor rgb="FFEA4E00"/>
        <bgColor rgb="FFEA4E00"/>
      </patternFill>
    </fill>
    <fill>
      <patternFill patternType="solid">
        <fgColor rgb="FFFF0000"/>
        <bgColor rgb="FFFF0000"/>
      </patternFill>
    </fill>
    <fill>
      <patternFill patternType="solid">
        <fgColor rgb="FFC000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99FF"/>
        <bgColor theme="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theme="2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theme="2"/>
      </patternFill>
    </fill>
    <fill>
      <patternFill patternType="solid">
        <fgColor rgb="FFFF0000"/>
        <bgColor theme="2"/>
      </patternFill>
    </fill>
    <fill>
      <patternFill patternType="solid">
        <fgColor rgb="FFFFB7B7"/>
        <bgColor theme="2"/>
      </patternFill>
    </fill>
    <fill>
      <patternFill patternType="solid">
        <fgColor rgb="FF00B050"/>
        <bgColor indexed="64"/>
      </patternFill>
    </fill>
    <fill>
      <patternFill patternType="solid">
        <fgColor rgb="FFB3EBFF"/>
        <bgColor theme="2"/>
      </patternFill>
    </fill>
    <fill>
      <patternFill patternType="solid">
        <fgColor rgb="FFBFBFFF"/>
        <bgColor theme="2"/>
      </patternFill>
    </fill>
    <fill>
      <patternFill patternType="solid">
        <fgColor rgb="FFFFD9D9"/>
        <bgColor theme="2"/>
      </patternFill>
    </fill>
    <fill>
      <patternFill patternType="solid">
        <fgColor rgb="FFE8E0EE"/>
        <bgColor theme="2"/>
      </patternFill>
    </fill>
    <fill>
      <patternFill patternType="solid">
        <fgColor rgb="FFC6B3D5"/>
        <bgColor theme="2"/>
      </patternFill>
    </fill>
    <fill>
      <patternFill patternType="solid">
        <fgColor rgb="FFA7C1EF"/>
        <bgColor theme="2"/>
      </patternFill>
    </fill>
    <fill>
      <patternFill patternType="solid">
        <fgColor rgb="FFD9E7C9"/>
        <bgColor theme="2"/>
      </patternFill>
    </fill>
    <fill>
      <patternFill patternType="solid">
        <fgColor rgb="FFF0F0F0"/>
        <bgColor theme="2"/>
      </patternFill>
    </fill>
    <fill>
      <patternFill patternType="solid">
        <fgColor rgb="FFB4C6E7"/>
        <bgColor theme="2"/>
      </patternFill>
    </fill>
    <fill>
      <patternFill patternType="solid">
        <fgColor rgb="FFCEE7BC"/>
        <bgColor theme="2"/>
      </patternFill>
    </fill>
    <fill>
      <patternFill patternType="solid">
        <fgColor rgb="FFFFA3A3"/>
        <bgColor theme="2"/>
      </patternFill>
    </fill>
    <fill>
      <patternFill patternType="solid">
        <fgColor rgb="FFE3E3E3"/>
        <bgColor theme="2"/>
      </patternFill>
    </fill>
    <fill>
      <patternFill patternType="solid">
        <fgColor rgb="FFC00000"/>
        <bgColor theme="2"/>
      </patternFill>
    </fill>
    <fill>
      <patternFill patternType="solid">
        <fgColor rgb="FFFFEFBF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5">
    <xf numFmtId="0" fontId="0" fillId="0" borderId="0"/>
    <xf numFmtId="0" fontId="3" fillId="0" borderId="0"/>
    <xf numFmtId="0" fontId="6" fillId="4" borderId="0"/>
    <xf numFmtId="0" fontId="7" fillId="3" borderId="0"/>
    <xf numFmtId="0" fontId="3" fillId="5" borderId="0"/>
  </cellStyleXfs>
  <cellXfs count="287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6" fillId="4" borderId="10" xfId="2" applyBorder="1"/>
    <xf numFmtId="0" fontId="7" fillId="3" borderId="10" xfId="3" applyBorder="1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" fillId="8" borderId="0" xfId="0" applyFont="1" applyFill="1" applyAlignment="1">
      <alignment vertical="top" wrapText="1"/>
    </xf>
    <xf numFmtId="0" fontId="17" fillId="0" borderId="0" xfId="0" applyFont="1"/>
    <xf numFmtId="0" fontId="18" fillId="14" borderId="14" xfId="1" applyFont="1" applyFill="1" applyBorder="1" applyAlignment="1">
      <alignment horizontal="left" vertical="top" wrapText="1"/>
    </xf>
    <xf numFmtId="0" fontId="18" fillId="0" borderId="12" xfId="1" applyFont="1" applyBorder="1" applyAlignment="1">
      <alignment horizontal="left" vertical="top" wrapText="1"/>
    </xf>
    <xf numFmtId="0" fontId="18" fillId="0" borderId="11" xfId="1" applyFont="1" applyBorder="1" applyAlignment="1">
      <alignment horizontal="left" vertical="top" wrapText="1"/>
    </xf>
    <xf numFmtId="0" fontId="0" fillId="17" borderId="0" xfId="0" applyFill="1"/>
    <xf numFmtId="0" fontId="19" fillId="12" borderId="17" xfId="0" applyFont="1" applyFill="1" applyBorder="1" applyAlignment="1">
      <alignment wrapText="1"/>
    </xf>
    <xf numFmtId="0" fontId="19" fillId="13" borderId="17" xfId="0" applyFont="1" applyFill="1" applyBorder="1" applyAlignment="1">
      <alignment wrapText="1"/>
    </xf>
    <xf numFmtId="49" fontId="0" fillId="0" borderId="0" xfId="0" applyNumberFormat="1"/>
    <xf numFmtId="164" fontId="0" fillId="0" borderId="0" xfId="0" applyNumberFormat="1"/>
    <xf numFmtId="0" fontId="0" fillId="0" borderId="0" xfId="0" applyAlignment="1">
      <alignment textRotation="90"/>
    </xf>
    <xf numFmtId="0" fontId="0" fillId="0" borderId="0" xfId="0" applyAlignment="1">
      <alignment horizontal="left" textRotation="90" wrapText="1"/>
    </xf>
    <xf numFmtId="0" fontId="20" fillId="0" borderId="0" xfId="0" applyFont="1" applyAlignment="1">
      <alignment vertical="top" wrapText="1"/>
    </xf>
    <xf numFmtId="0" fontId="0" fillId="0" borderId="0" xfId="0" applyAlignment="1">
      <alignment horizontal="center" wrapText="1"/>
    </xf>
    <xf numFmtId="0" fontId="21" fillId="0" borderId="0" xfId="0" applyFont="1" applyAlignment="1">
      <alignment vertical="center"/>
    </xf>
    <xf numFmtId="0" fontId="14" fillId="8" borderId="0" xfId="0" applyFont="1" applyFill="1"/>
    <xf numFmtId="0" fontId="0" fillId="8" borderId="0" xfId="0" applyFill="1"/>
    <xf numFmtId="0" fontId="1" fillId="14" borderId="0" xfId="0" applyFont="1" applyFill="1" applyAlignment="1">
      <alignment vertical="top" wrapText="1"/>
    </xf>
    <xf numFmtId="0" fontId="11" fillId="18" borderId="7" xfId="0" applyFont="1" applyFill="1" applyBorder="1" applyAlignment="1">
      <alignment horizontal="left" vertical="center" wrapText="1"/>
    </xf>
    <xf numFmtId="0" fontId="11" fillId="18" borderId="9" xfId="0" applyFont="1" applyFill="1" applyBorder="1" applyAlignment="1">
      <alignment horizontal="left" vertical="center" wrapText="1"/>
    </xf>
    <xf numFmtId="0" fontId="10" fillId="2" borderId="10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left" vertical="center" wrapText="1"/>
    </xf>
    <xf numFmtId="0" fontId="11" fillId="8" borderId="9" xfId="0" applyFont="1" applyFill="1" applyBorder="1" applyAlignment="1">
      <alignment horizontal="left" vertical="center" wrapText="1"/>
    </xf>
    <xf numFmtId="0" fontId="4" fillId="8" borderId="0" xfId="0" applyFont="1" applyFill="1"/>
    <xf numFmtId="0" fontId="0" fillId="14" borderId="10" xfId="0" applyFill="1" applyBorder="1" applyAlignment="1">
      <alignment vertical="top" wrapText="1"/>
    </xf>
    <xf numFmtId="0" fontId="0" fillId="21" borderId="10" xfId="0" applyFill="1" applyBorder="1" applyAlignment="1">
      <alignment vertical="top" wrapText="1"/>
    </xf>
    <xf numFmtId="0" fontId="2" fillId="20" borderId="10" xfId="0" applyFont="1" applyFill="1" applyBorder="1" applyAlignment="1">
      <alignment vertical="top"/>
    </xf>
    <xf numFmtId="0" fontId="0" fillId="19" borderId="10" xfId="0" applyFill="1" applyBorder="1" applyAlignment="1">
      <alignment vertical="top"/>
    </xf>
    <xf numFmtId="0" fontId="0" fillId="18" borderId="6" xfId="0" applyFill="1" applyBorder="1"/>
    <xf numFmtId="0" fontId="0" fillId="22" borderId="13" xfId="0" applyFill="1" applyBorder="1"/>
    <xf numFmtId="0" fontId="13" fillId="18" borderId="8" xfId="0" applyFont="1" applyFill="1" applyBorder="1"/>
    <xf numFmtId="0" fontId="0" fillId="18" borderId="7" xfId="0" applyFill="1" applyBorder="1"/>
    <xf numFmtId="0" fontId="13" fillId="22" borderId="7" xfId="0" applyFont="1" applyFill="1" applyBorder="1"/>
    <xf numFmtId="0" fontId="0" fillId="23" borderId="7" xfId="0" applyFill="1" applyBorder="1"/>
    <xf numFmtId="0" fontId="0" fillId="18" borderId="0" xfId="0" applyFill="1"/>
    <xf numFmtId="0" fontId="16" fillId="18" borderId="0" xfId="0" applyFont="1" applyFill="1"/>
    <xf numFmtId="0" fontId="0" fillId="0" borderId="0" xfId="0" applyAlignment="1">
      <alignment horizontal="center" vertical="top" wrapText="1"/>
    </xf>
    <xf numFmtId="0" fontId="0" fillId="6" borderId="0" xfId="0" applyFill="1" applyAlignment="1">
      <alignment vertical="top"/>
    </xf>
    <xf numFmtId="0" fontId="0" fillId="24" borderId="10" xfId="0" applyFill="1" applyBorder="1" applyAlignment="1">
      <alignment vertical="top" wrapText="1"/>
    </xf>
    <xf numFmtId="0" fontId="22" fillId="7" borderId="8" xfId="0" applyFont="1" applyFill="1" applyBorder="1" applyAlignment="1">
      <alignment wrapText="1"/>
    </xf>
    <xf numFmtId="0" fontId="22" fillId="7" borderId="16" xfId="0" applyFont="1" applyFill="1" applyBorder="1" applyAlignment="1">
      <alignment wrapText="1"/>
    </xf>
    <xf numFmtId="0" fontId="22" fillId="15" borderId="16" xfId="0" applyFont="1" applyFill="1" applyBorder="1" applyAlignment="1">
      <alignment wrapText="1"/>
    </xf>
    <xf numFmtId="0" fontId="22" fillId="15" borderId="16" xfId="0" applyFont="1" applyFill="1" applyBorder="1" applyAlignment="1">
      <alignment horizontal="left" wrapText="1"/>
    </xf>
    <xf numFmtId="0" fontId="22" fillId="15" borderId="16" xfId="0" quotePrefix="1" applyFont="1" applyFill="1" applyBorder="1" applyAlignment="1">
      <alignment wrapText="1"/>
    </xf>
    <xf numFmtId="0" fontId="22" fillId="9" borderId="16" xfId="0" applyFont="1" applyFill="1" applyBorder="1" applyAlignment="1">
      <alignment wrapText="1"/>
    </xf>
    <xf numFmtId="0" fontId="22" fillId="10" borderId="16" xfId="0" applyFont="1" applyFill="1" applyBorder="1" applyAlignment="1">
      <alignment wrapText="1"/>
    </xf>
    <xf numFmtId="0" fontId="22" fillId="10" borderId="16" xfId="0" quotePrefix="1" applyFont="1" applyFill="1" applyBorder="1" applyAlignment="1">
      <alignment wrapText="1"/>
    </xf>
    <xf numFmtId="0" fontId="22" fillId="11" borderId="16" xfId="0" applyFont="1" applyFill="1" applyBorder="1" applyAlignment="1">
      <alignment wrapText="1"/>
    </xf>
    <xf numFmtId="0" fontId="22" fillId="13" borderId="16" xfId="0" applyFont="1" applyFill="1" applyBorder="1" applyAlignment="1">
      <alignment horizontal="center" wrapText="1"/>
    </xf>
    <xf numFmtId="0" fontId="22" fillId="14" borderId="9" xfId="0" applyFont="1" applyFill="1" applyBorder="1" applyAlignment="1">
      <alignment wrapText="1"/>
    </xf>
    <xf numFmtId="0" fontId="1" fillId="0" borderId="16" xfId="0" applyFont="1" applyBorder="1" applyAlignment="1">
      <alignment wrapText="1"/>
    </xf>
    <xf numFmtId="0" fontId="0" fillId="7" borderId="0" xfId="0" applyFill="1" applyAlignment="1">
      <alignment wrapText="1"/>
    </xf>
    <xf numFmtId="0" fontId="0" fillId="15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4" borderId="0" xfId="0" applyFill="1" applyAlignment="1">
      <alignment wrapText="1"/>
    </xf>
    <xf numFmtId="0" fontId="1" fillId="15" borderId="0" xfId="0" applyFont="1" applyFill="1" applyAlignment="1">
      <alignment wrapText="1"/>
    </xf>
    <xf numFmtId="0" fontId="1" fillId="1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8" fillId="8" borderId="0" xfId="0" applyFont="1" applyFill="1" applyAlignment="1">
      <alignment horizontal="center" vertical="center" wrapText="1"/>
    </xf>
    <xf numFmtId="0" fontId="0" fillId="20" borderId="0" xfId="0" applyFill="1" applyAlignment="1">
      <alignment wrapText="1"/>
    </xf>
    <xf numFmtId="0" fontId="0" fillId="26" borderId="0" xfId="0" applyFill="1"/>
    <xf numFmtId="0" fontId="0" fillId="27" borderId="0" xfId="0" applyFill="1"/>
    <xf numFmtId="0" fontId="0" fillId="28" borderId="0" xfId="0" applyFill="1"/>
    <xf numFmtId="0" fontId="0" fillId="29" borderId="0" xfId="0" applyFill="1"/>
    <xf numFmtId="0" fontId="0" fillId="30" borderId="0" xfId="0" applyFill="1"/>
    <xf numFmtId="0" fontId="0" fillId="31" borderId="0" xfId="0" applyFill="1"/>
    <xf numFmtId="0" fontId="0" fillId="32" borderId="0" xfId="0" applyFill="1"/>
    <xf numFmtId="0" fontId="23" fillId="0" borderId="0" xfId="0" applyFont="1" applyAlignment="1">
      <alignment vertical="center" wrapText="1"/>
    </xf>
    <xf numFmtId="0" fontId="22" fillId="34" borderId="16" xfId="0" applyFont="1" applyFill="1" applyBorder="1" applyAlignment="1">
      <alignment wrapText="1"/>
    </xf>
    <xf numFmtId="0" fontId="11" fillId="8" borderId="5" xfId="0" applyFont="1" applyFill="1" applyBorder="1" applyAlignment="1">
      <alignment horizontal="left" vertical="center" wrapText="1"/>
    </xf>
    <xf numFmtId="0" fontId="11" fillId="8" borderId="13" xfId="0" applyFont="1" applyFill="1" applyBorder="1" applyAlignment="1">
      <alignment horizontal="left" vertical="center" wrapText="1"/>
    </xf>
    <xf numFmtId="0" fontId="24" fillId="8" borderId="5" xfId="0" applyFont="1" applyFill="1" applyBorder="1" applyAlignment="1">
      <alignment horizontal="left" vertical="center" wrapText="1"/>
    </xf>
    <xf numFmtId="0" fontId="0" fillId="22" borderId="4" xfId="0" applyFill="1" applyBorder="1"/>
    <xf numFmtId="0" fontId="23" fillId="0" borderId="0" xfId="0" applyFont="1" applyAlignment="1">
      <alignment horizontal="center" vertical="center" wrapText="1"/>
    </xf>
    <xf numFmtId="0" fontId="0" fillId="14" borderId="5" xfId="0" applyFill="1" applyBorder="1" applyAlignment="1">
      <alignment wrapText="1"/>
    </xf>
    <xf numFmtId="0" fontId="0" fillId="14" borderId="5" xfId="0" applyFill="1" applyBorder="1"/>
    <xf numFmtId="0" fontId="0" fillId="14" borderId="4" xfId="0" applyFill="1" applyBorder="1"/>
    <xf numFmtId="0" fontId="0" fillId="21" borderId="0" xfId="0" applyFill="1" applyAlignment="1">
      <alignment horizontal="center" textRotation="90"/>
    </xf>
    <xf numFmtId="0" fontId="15" fillId="16" borderId="22" xfId="1" applyFont="1" applyFill="1" applyBorder="1" applyAlignment="1">
      <alignment horizontal="left" wrapText="1"/>
    </xf>
    <xf numFmtId="0" fontId="15" fillId="16" borderId="0" xfId="1" applyFont="1" applyFill="1" applyAlignment="1">
      <alignment horizontal="left"/>
    </xf>
    <xf numFmtId="0" fontId="15" fillId="16" borderId="23" xfId="0" applyFont="1" applyFill="1" applyBorder="1" applyAlignment="1">
      <alignment horizontal="left" wrapText="1"/>
    </xf>
    <xf numFmtId="0" fontId="25" fillId="37" borderId="0" xfId="0" applyFont="1" applyFill="1" applyAlignment="1">
      <alignment horizontal="center" textRotation="90"/>
    </xf>
    <xf numFmtId="0" fontId="25" fillId="37" borderId="0" xfId="0" applyFont="1" applyFill="1" applyAlignment="1">
      <alignment horizontal="center" wrapText="1"/>
    </xf>
    <xf numFmtId="0" fontId="0" fillId="38" borderId="0" xfId="0" applyFill="1" applyAlignment="1">
      <alignment horizontal="center" textRotation="90"/>
    </xf>
    <xf numFmtId="0" fontId="0" fillId="14" borderId="18" xfId="0" applyFill="1" applyBorder="1" applyAlignment="1">
      <alignment vertical="top" wrapText="1"/>
    </xf>
    <xf numFmtId="0" fontId="23" fillId="33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top"/>
    </xf>
    <xf numFmtId="0" fontId="27" fillId="8" borderId="0" xfId="0" applyFont="1" applyFill="1"/>
    <xf numFmtId="0" fontId="29" fillId="8" borderId="0" xfId="0" applyFont="1" applyFill="1"/>
    <xf numFmtId="0" fontId="0" fillId="39" borderId="10" xfId="0" applyFill="1" applyBorder="1" applyAlignment="1">
      <alignment vertical="top" wrapText="1"/>
    </xf>
    <xf numFmtId="0" fontId="0" fillId="40" borderId="10" xfId="0" applyFill="1" applyBorder="1" applyAlignment="1">
      <alignment vertical="top" wrapText="1"/>
    </xf>
    <xf numFmtId="0" fontId="0" fillId="39" borderId="15" xfId="0" applyFill="1" applyBorder="1" applyAlignment="1">
      <alignment vertical="top" wrapText="1"/>
    </xf>
    <xf numFmtId="0" fontId="0" fillId="39" borderId="18" xfId="0" applyFill="1" applyBorder="1" applyAlignment="1">
      <alignment vertical="top" wrapText="1"/>
    </xf>
    <xf numFmtId="0" fontId="0" fillId="22" borderId="7" xfId="0" applyFill="1" applyBorder="1"/>
    <xf numFmtId="0" fontId="0" fillId="41" borderId="10" xfId="0" applyFill="1" applyBorder="1" applyAlignment="1">
      <alignment vertical="top" wrapText="1"/>
    </xf>
    <xf numFmtId="0" fontId="0" fillId="42" borderId="10" xfId="0" applyFill="1" applyBorder="1" applyAlignment="1">
      <alignment vertical="top" wrapText="1"/>
    </xf>
    <xf numFmtId="0" fontId="0" fillId="33" borderId="10" xfId="0" applyFill="1" applyBorder="1" applyAlignment="1">
      <alignment vertical="top"/>
    </xf>
    <xf numFmtId="0" fontId="0" fillId="33" borderId="10" xfId="0" applyFill="1" applyBorder="1" applyAlignment="1">
      <alignment vertical="top" wrapText="1"/>
    </xf>
    <xf numFmtId="0" fontId="0" fillId="33" borderId="15" xfId="0" applyFill="1" applyBorder="1" applyAlignment="1">
      <alignment vertical="top"/>
    </xf>
    <xf numFmtId="0" fontId="0" fillId="33" borderId="15" xfId="0" applyFill="1" applyBorder="1" applyAlignment="1">
      <alignment vertical="top" wrapText="1"/>
    </xf>
    <xf numFmtId="0" fontId="0" fillId="40" borderId="15" xfId="0" applyFill="1" applyBorder="1" applyAlignment="1">
      <alignment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 applyAlignment="1">
      <alignment horizontal="right" wrapText="1"/>
    </xf>
    <xf numFmtId="0" fontId="0" fillId="7" borderId="15" xfId="0" applyFill="1" applyBorder="1" applyAlignment="1">
      <alignment vertical="top" wrapText="1"/>
    </xf>
    <xf numFmtId="0" fontId="0" fillId="35" borderId="15" xfId="0" applyFill="1" applyBorder="1" applyAlignment="1">
      <alignment vertical="top" wrapText="1"/>
    </xf>
    <xf numFmtId="0" fontId="0" fillId="15" borderId="15" xfId="0" applyFill="1" applyBorder="1" applyAlignment="1">
      <alignment vertical="top" wrapText="1"/>
    </xf>
    <xf numFmtId="0" fontId="0" fillId="9" borderId="15" xfId="0" applyFill="1" applyBorder="1" applyAlignment="1">
      <alignment vertical="top" wrapText="1"/>
    </xf>
    <xf numFmtId="0" fontId="0" fillId="10" borderId="15" xfId="0" applyFill="1" applyBorder="1" applyAlignment="1">
      <alignment vertical="top" wrapText="1"/>
    </xf>
    <xf numFmtId="0" fontId="0" fillId="25" borderId="15" xfId="0" applyFill="1" applyBorder="1" applyAlignment="1">
      <alignment vertical="top" wrapText="1"/>
    </xf>
    <xf numFmtId="0" fontId="0" fillId="12" borderId="15" xfId="0" applyFill="1" applyBorder="1" applyAlignment="1">
      <alignment vertical="top" wrapText="1"/>
    </xf>
    <xf numFmtId="0" fontId="0" fillId="7" borderId="10" xfId="0" applyFill="1" applyBorder="1" applyAlignment="1">
      <alignment vertical="top" wrapText="1"/>
    </xf>
    <xf numFmtId="0" fontId="0" fillId="43" borderId="15" xfId="0" applyFill="1" applyBorder="1" applyAlignment="1">
      <alignment horizontal="center" vertical="top" wrapText="1"/>
    </xf>
    <xf numFmtId="0" fontId="0" fillId="15" borderId="15" xfId="0" applyFill="1" applyBorder="1" applyAlignment="1">
      <alignment horizontal="center" vertical="top" wrapText="1"/>
    </xf>
    <xf numFmtId="0" fontId="0" fillId="10" borderId="15" xfId="0" applyFill="1" applyBorder="1" applyAlignment="1">
      <alignment horizontal="center" vertical="top" wrapText="1"/>
    </xf>
    <xf numFmtId="0" fontId="0" fillId="12" borderId="15" xfId="0" applyFill="1" applyBorder="1" applyAlignment="1">
      <alignment horizontal="center" vertical="top" wrapText="1"/>
    </xf>
    <xf numFmtId="0" fontId="0" fillId="12" borderId="10" xfId="0" applyFill="1" applyBorder="1" applyAlignment="1">
      <alignment horizontal="center" vertical="top" wrapText="1"/>
    </xf>
    <xf numFmtId="0" fontId="0" fillId="13" borderId="15" xfId="0" applyFill="1" applyBorder="1" applyAlignment="1">
      <alignment horizontal="center" vertical="top" wrapText="1"/>
    </xf>
    <xf numFmtId="0" fontId="0" fillId="42" borderId="10" xfId="0" applyFill="1" applyBorder="1" applyAlignment="1">
      <alignment horizontal="center" vertical="top" wrapText="1"/>
    </xf>
    <xf numFmtId="0" fontId="0" fillId="7" borderId="18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0" fillId="35" borderId="26" xfId="0" applyFill="1" applyBorder="1" applyAlignment="1">
      <alignment vertical="top" wrapText="1"/>
    </xf>
    <xf numFmtId="0" fontId="0" fillId="43" borderId="26" xfId="0" applyFill="1" applyBorder="1" applyAlignment="1">
      <alignment horizontal="center" vertical="top" wrapText="1"/>
    </xf>
    <xf numFmtId="0" fontId="0" fillId="15" borderId="26" xfId="0" applyFill="1" applyBorder="1" applyAlignment="1">
      <alignment horizontal="center" vertical="top" wrapText="1"/>
    </xf>
    <xf numFmtId="0" fontId="0" fillId="15" borderId="26" xfId="0" applyFill="1" applyBorder="1" applyAlignment="1">
      <alignment vertical="top" wrapText="1"/>
    </xf>
    <xf numFmtId="0" fontId="0" fillId="9" borderId="26" xfId="0" applyFill="1" applyBorder="1" applyAlignment="1">
      <alignment vertical="top" wrapText="1"/>
    </xf>
    <xf numFmtId="0" fontId="0" fillId="10" borderId="26" xfId="0" applyFill="1" applyBorder="1" applyAlignment="1">
      <alignment horizontal="center" vertical="top" wrapText="1"/>
    </xf>
    <xf numFmtId="0" fontId="0" fillId="25" borderId="26" xfId="0" applyFill="1" applyBorder="1" applyAlignment="1">
      <alignment vertical="top" wrapText="1"/>
    </xf>
    <xf numFmtId="0" fontId="0" fillId="12" borderId="18" xfId="0" applyFill="1" applyBorder="1" applyAlignment="1">
      <alignment horizontal="center" vertical="top" wrapText="1"/>
    </xf>
    <xf numFmtId="0" fontId="0" fillId="13" borderId="26" xfId="0" applyFill="1" applyBorder="1" applyAlignment="1">
      <alignment horizontal="center" vertical="top" wrapText="1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0" fillId="36" borderId="10" xfId="0" applyFill="1" applyBorder="1" applyAlignment="1">
      <alignment horizontal="center" vertical="top" wrapText="1"/>
    </xf>
    <xf numFmtId="0" fontId="0" fillId="36" borderId="10" xfId="0" applyFill="1" applyBorder="1" applyAlignment="1">
      <alignment horizontal="center" vertical="top"/>
    </xf>
    <xf numFmtId="164" fontId="0" fillId="0" borderId="0" xfId="0" applyNumberFormat="1" applyAlignment="1">
      <alignment vertical="top"/>
    </xf>
    <xf numFmtId="0" fontId="0" fillId="0" borderId="0" xfId="0" quotePrefix="1" applyAlignment="1">
      <alignment vertical="top" wrapText="1"/>
    </xf>
    <xf numFmtId="0" fontId="0" fillId="0" borderId="0" xfId="0" quotePrefix="1" applyAlignment="1">
      <alignment vertical="top"/>
    </xf>
    <xf numFmtId="0" fontId="0" fillId="57" borderId="10" xfId="0" applyFill="1" applyBorder="1" applyAlignment="1">
      <alignment vertical="top" wrapText="1"/>
    </xf>
    <xf numFmtId="0" fontId="0" fillId="42" borderId="17" xfId="0" applyFill="1" applyBorder="1" applyAlignment="1">
      <alignment horizontal="center" vertical="center" wrapText="1"/>
    </xf>
    <xf numFmtId="0" fontId="0" fillId="42" borderId="2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8" borderId="21" xfId="0" applyFill="1" applyBorder="1" applyAlignment="1">
      <alignment wrapText="1"/>
    </xf>
    <xf numFmtId="0" fontId="0" fillId="8" borderId="3" xfId="0" applyFill="1" applyBorder="1" applyAlignment="1">
      <alignment wrapText="1"/>
    </xf>
    <xf numFmtId="0" fontId="22" fillId="20" borderId="2" xfId="0" applyFont="1" applyFill="1" applyBorder="1" applyAlignment="1">
      <alignment wrapText="1"/>
    </xf>
    <xf numFmtId="0" fontId="0" fillId="20" borderId="2" xfId="0" applyFill="1" applyBorder="1" applyAlignment="1">
      <alignment wrapText="1"/>
    </xf>
    <xf numFmtId="0" fontId="0" fillId="58" borderId="10" xfId="0" applyFill="1" applyBorder="1" applyAlignment="1" applyProtection="1">
      <alignment horizontal="center" vertical="top"/>
      <protection locked="0"/>
    </xf>
    <xf numFmtId="0" fontId="0" fillId="58" borderId="10" xfId="0" applyFill="1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53" borderId="10" xfId="0" applyFill="1" applyBorder="1" applyAlignment="1" applyProtection="1">
      <alignment vertical="top" wrapText="1"/>
      <protection locked="0"/>
    </xf>
    <xf numFmtId="0" fontId="0" fillId="54" borderId="10" xfId="0" applyFill="1" applyBorder="1" applyAlignment="1" applyProtection="1">
      <alignment vertical="top"/>
      <protection locked="0"/>
    </xf>
    <xf numFmtId="0" fontId="0" fillId="55" borderId="10" xfId="0" applyFill="1" applyBorder="1" applyAlignment="1" applyProtection="1">
      <alignment horizontal="center" vertical="top" wrapText="1"/>
      <protection locked="0"/>
    </xf>
    <xf numFmtId="0" fontId="0" fillId="45" borderId="15" xfId="0" applyFill="1" applyBorder="1" applyAlignment="1" applyProtection="1">
      <alignment vertical="top" wrapText="1"/>
      <protection locked="0"/>
    </xf>
    <xf numFmtId="0" fontId="0" fillId="45" borderId="10" xfId="0" applyFill="1" applyBorder="1" applyAlignment="1" applyProtection="1">
      <alignment vertical="top" wrapText="1"/>
      <protection locked="0"/>
    </xf>
    <xf numFmtId="0" fontId="0" fillId="45" borderId="10" xfId="0" applyFill="1" applyBorder="1" applyAlignment="1" applyProtection="1">
      <alignment vertical="top"/>
      <protection locked="0"/>
    </xf>
    <xf numFmtId="0" fontId="0" fillId="45" borderId="18" xfId="0" applyFill="1" applyBorder="1" applyAlignment="1" applyProtection="1">
      <alignment vertical="top"/>
      <protection locked="0"/>
    </xf>
    <xf numFmtId="0" fontId="0" fillId="45" borderId="18" xfId="0" applyFill="1" applyBorder="1" applyAlignment="1" applyProtection="1">
      <alignment vertical="top" wrapText="1"/>
      <protection locked="0"/>
    </xf>
    <xf numFmtId="0" fontId="0" fillId="46" borderId="15" xfId="0" applyFill="1" applyBorder="1" applyAlignment="1" applyProtection="1">
      <alignment vertical="top" wrapText="1"/>
      <protection locked="0"/>
    </xf>
    <xf numFmtId="0" fontId="0" fillId="46" borderId="26" xfId="0" applyFill="1" applyBorder="1" applyAlignment="1" applyProtection="1">
      <alignment vertical="top" wrapText="1"/>
      <protection locked="0"/>
    </xf>
    <xf numFmtId="0" fontId="32" fillId="40" borderId="16" xfId="0" applyFont="1" applyFill="1" applyBorder="1" applyAlignment="1">
      <alignment wrapText="1"/>
    </xf>
    <xf numFmtId="0" fontId="0" fillId="47" borderId="15" xfId="0" applyFill="1" applyBorder="1" applyAlignment="1" applyProtection="1">
      <alignment horizontal="center" vertical="top" wrapText="1"/>
      <protection locked="0"/>
    </xf>
    <xf numFmtId="0" fontId="0" fillId="47" borderId="10" xfId="0" applyFill="1" applyBorder="1" applyAlignment="1" applyProtection="1">
      <alignment horizontal="center" vertical="top" wrapText="1"/>
      <protection locked="0"/>
    </xf>
    <xf numFmtId="0" fontId="0" fillId="47" borderId="18" xfId="0" applyFill="1" applyBorder="1" applyAlignment="1" applyProtection="1">
      <alignment horizontal="center" vertical="top" wrapText="1"/>
      <protection locked="0"/>
    </xf>
    <xf numFmtId="0" fontId="0" fillId="48" borderId="15" xfId="0" applyFill="1" applyBorder="1" applyAlignment="1" applyProtection="1">
      <alignment vertical="top" wrapText="1"/>
      <protection locked="0"/>
    </xf>
    <xf numFmtId="0" fontId="0" fillId="48" borderId="26" xfId="0" applyFill="1" applyBorder="1" applyAlignment="1" applyProtection="1">
      <alignment vertical="top" wrapText="1"/>
      <protection locked="0"/>
    </xf>
    <xf numFmtId="0" fontId="0" fillId="10" borderId="10" xfId="0" applyFill="1" applyBorder="1" applyAlignment="1">
      <alignment horizontal="center" vertical="top" wrapText="1"/>
    </xf>
    <xf numFmtId="0" fontId="0" fillId="10" borderId="18" xfId="0" applyFill="1" applyBorder="1" applyAlignment="1">
      <alignment horizontal="center" vertical="top" wrapText="1"/>
    </xf>
    <xf numFmtId="0" fontId="0" fillId="49" borderId="15" xfId="0" applyFill="1" applyBorder="1" applyAlignment="1" applyProtection="1">
      <alignment vertical="top" wrapText="1"/>
      <protection locked="0"/>
    </xf>
    <xf numFmtId="0" fontId="0" fillId="50" borderId="15" xfId="0" applyFill="1" applyBorder="1" applyAlignment="1" applyProtection="1">
      <alignment vertical="top" wrapText="1"/>
      <protection locked="0"/>
    </xf>
    <xf numFmtId="0" fontId="0" fillId="49" borderId="26" xfId="0" applyFill="1" applyBorder="1" applyAlignment="1" applyProtection="1">
      <alignment vertical="top" wrapText="1"/>
      <protection locked="0"/>
    </xf>
    <xf numFmtId="0" fontId="0" fillId="50" borderId="26" xfId="0" applyFill="1" applyBorder="1" applyAlignment="1" applyProtection="1">
      <alignment vertical="top" wrapText="1"/>
      <protection locked="0"/>
    </xf>
    <xf numFmtId="0" fontId="0" fillId="51" borderId="15" xfId="0" applyFill="1" applyBorder="1" applyAlignment="1" applyProtection="1">
      <alignment vertical="top" wrapText="1"/>
      <protection locked="0"/>
    </xf>
    <xf numFmtId="0" fontId="0" fillId="52" borderId="15" xfId="0" applyFill="1" applyBorder="1" applyAlignment="1" applyProtection="1">
      <alignment vertical="top" wrapText="1"/>
      <protection locked="0"/>
    </xf>
    <xf numFmtId="0" fontId="0" fillId="51" borderId="10" xfId="0" applyFill="1" applyBorder="1" applyAlignment="1" applyProtection="1">
      <alignment vertical="top" wrapText="1"/>
      <protection locked="0"/>
    </xf>
    <xf numFmtId="0" fontId="0" fillId="52" borderId="10" xfId="0" applyFill="1" applyBorder="1" applyAlignment="1" applyProtection="1">
      <alignment vertical="top" wrapText="1"/>
      <protection locked="0"/>
    </xf>
    <xf numFmtId="0" fontId="0" fillId="51" borderId="18" xfId="0" applyFill="1" applyBorder="1" applyAlignment="1" applyProtection="1">
      <alignment vertical="top" wrapText="1"/>
      <protection locked="0"/>
    </xf>
    <xf numFmtId="0" fontId="0" fillId="52" borderId="18" xfId="0" applyFill="1" applyBorder="1" applyAlignment="1" applyProtection="1">
      <alignment vertical="top" wrapText="1"/>
      <protection locked="0"/>
    </xf>
    <xf numFmtId="0" fontId="0" fillId="0" borderId="0" xfId="0" applyAlignment="1">
      <alignment horizontal="left" vertical="top"/>
    </xf>
    <xf numFmtId="0" fontId="0" fillId="33" borderId="10" xfId="0" applyFill="1" applyBorder="1" applyAlignment="1">
      <alignment horizontal="left" vertical="top" wrapText="1"/>
    </xf>
    <xf numFmtId="0" fontId="0" fillId="55" borderId="10" xfId="0" applyFill="1" applyBorder="1" applyAlignment="1" applyProtection="1">
      <alignment horizontal="left" vertical="top" wrapText="1"/>
      <protection locked="0"/>
    </xf>
    <xf numFmtId="0" fontId="0" fillId="0" borderId="30" xfId="0" applyBorder="1"/>
    <xf numFmtId="0" fontId="0" fillId="56" borderId="15" xfId="0" applyFill="1" applyBorder="1" applyAlignment="1" applyProtection="1">
      <alignment vertical="top" wrapText="1"/>
      <protection locked="0"/>
    </xf>
    <xf numFmtId="0" fontId="0" fillId="56" borderId="10" xfId="0" applyFill="1" applyBorder="1" applyAlignment="1" applyProtection="1">
      <alignment vertical="top" wrapText="1"/>
      <protection locked="0"/>
    </xf>
    <xf numFmtId="0" fontId="0" fillId="56" borderId="18" xfId="0" applyFill="1" applyBorder="1" applyAlignment="1" applyProtection="1">
      <alignment vertical="top" wrapText="1"/>
      <protection locked="0"/>
    </xf>
    <xf numFmtId="49" fontId="0" fillId="0" borderId="0" xfId="0" applyNumberFormat="1" applyAlignment="1">
      <alignment vertical="top"/>
    </xf>
    <xf numFmtId="0" fontId="0" fillId="59" borderId="0" xfId="0" applyFill="1"/>
    <xf numFmtId="0" fontId="0" fillId="59" borderId="0" xfId="0" applyFill="1" applyAlignment="1">
      <alignment horizontal="center"/>
    </xf>
    <xf numFmtId="0" fontId="11" fillId="8" borderId="24" xfId="0" applyFont="1" applyFill="1" applyBorder="1" applyAlignment="1">
      <alignment horizontal="left" vertical="center" wrapText="1"/>
    </xf>
    <xf numFmtId="0" fontId="33" fillId="8" borderId="13" xfId="0" applyFont="1" applyFill="1" applyBorder="1" applyAlignment="1">
      <alignment horizontal="left" vertical="center" wrapText="1"/>
    </xf>
    <xf numFmtId="0" fontId="11" fillId="8" borderId="3" xfId="0" applyFont="1" applyFill="1" applyBorder="1" applyAlignment="1">
      <alignment horizontal="left" vertical="center" wrapText="1"/>
    </xf>
    <xf numFmtId="0" fontId="33" fillId="8" borderId="5" xfId="0" applyFont="1" applyFill="1" applyBorder="1" applyAlignment="1">
      <alignment horizontal="left" vertical="center" wrapText="1"/>
    </xf>
    <xf numFmtId="0" fontId="34" fillId="22" borderId="13" xfId="0" applyFont="1" applyFill="1" applyBorder="1" applyAlignment="1">
      <alignment horizontal="left" vertical="center" wrapText="1"/>
    </xf>
    <xf numFmtId="0" fontId="34" fillId="60" borderId="13" xfId="0" applyFont="1" applyFill="1" applyBorder="1" applyAlignment="1">
      <alignment horizontal="left" vertical="center" wrapText="1"/>
    </xf>
    <xf numFmtId="0" fontId="34" fillId="22" borderId="31" xfId="0" quotePrefix="1" applyFont="1" applyFill="1" applyBorder="1" applyAlignment="1">
      <alignment horizontal="left" vertical="center" wrapText="1"/>
    </xf>
    <xf numFmtId="0" fontId="5" fillId="60" borderId="31" xfId="0" applyFont="1" applyFill="1" applyBorder="1" applyAlignment="1">
      <alignment horizontal="left" vertical="center" wrapText="1"/>
    </xf>
    <xf numFmtId="0" fontId="34" fillId="22" borderId="31" xfId="0" applyFont="1" applyFill="1" applyBorder="1" applyAlignment="1">
      <alignment horizontal="left" vertical="center" wrapText="1"/>
    </xf>
    <xf numFmtId="0" fontId="34" fillId="22" borderId="33" xfId="0" applyFont="1" applyFill="1" applyBorder="1" applyAlignment="1">
      <alignment horizontal="left" vertical="center" wrapText="1"/>
    </xf>
    <xf numFmtId="0" fontId="34" fillId="60" borderId="33" xfId="0" applyFont="1" applyFill="1" applyBorder="1" applyAlignment="1">
      <alignment horizontal="left" vertical="center" wrapText="1"/>
    </xf>
    <xf numFmtId="0" fontId="35" fillId="61" borderId="5" xfId="0" applyFont="1" applyFill="1" applyBorder="1" applyAlignment="1">
      <alignment horizontal="left" vertical="center" wrapText="1"/>
    </xf>
    <xf numFmtId="0" fontId="5" fillId="22" borderId="13" xfId="0" applyFont="1" applyFill="1" applyBorder="1" applyAlignment="1">
      <alignment horizontal="left" vertical="center" wrapText="1"/>
    </xf>
    <xf numFmtId="0" fontId="5" fillId="60" borderId="13" xfId="0" applyFont="1" applyFill="1" applyBorder="1" applyAlignment="1">
      <alignment horizontal="left" vertical="center" wrapText="1"/>
    </xf>
    <xf numFmtId="0" fontId="5" fillId="22" borderId="34" xfId="0" applyFont="1" applyFill="1" applyBorder="1" applyAlignment="1">
      <alignment horizontal="left" vertical="center" wrapText="1"/>
    </xf>
    <xf numFmtId="0" fontId="5" fillId="22" borderId="31" xfId="0" applyFont="1" applyFill="1" applyBorder="1" applyAlignment="1">
      <alignment horizontal="left" vertical="center" wrapText="1"/>
    </xf>
    <xf numFmtId="0" fontId="5" fillId="22" borderId="35" xfId="0" applyFont="1" applyFill="1" applyBorder="1" applyAlignment="1">
      <alignment horizontal="left" vertical="center" wrapText="1"/>
    </xf>
    <xf numFmtId="0" fontId="5" fillId="22" borderId="36" xfId="0" applyFont="1" applyFill="1" applyBorder="1" applyAlignment="1">
      <alignment horizontal="left" vertical="center" wrapText="1"/>
    </xf>
    <xf numFmtId="0" fontId="35" fillId="61" borderId="2" xfId="0" applyFont="1" applyFill="1" applyBorder="1" applyAlignment="1">
      <alignment horizontal="left" vertical="center" wrapText="1"/>
    </xf>
    <xf numFmtId="0" fontId="5" fillId="22" borderId="1" xfId="0" applyFont="1" applyFill="1" applyBorder="1" applyAlignment="1">
      <alignment horizontal="left" vertical="center" wrapText="1"/>
    </xf>
    <xf numFmtId="0" fontId="5" fillId="22" borderId="37" xfId="0" applyFont="1" applyFill="1" applyBorder="1" applyAlignment="1">
      <alignment horizontal="left" vertical="center" wrapText="1"/>
    </xf>
    <xf numFmtId="0" fontId="5" fillId="22" borderId="38" xfId="0" applyFont="1" applyFill="1" applyBorder="1" applyAlignment="1">
      <alignment horizontal="left" vertical="center" wrapText="1"/>
    </xf>
    <xf numFmtId="0" fontId="5" fillId="22" borderId="39" xfId="0" applyFont="1" applyFill="1" applyBorder="1" applyAlignment="1">
      <alignment horizontal="left" vertical="center" wrapText="1"/>
    </xf>
    <xf numFmtId="0" fontId="5" fillId="22" borderId="40" xfId="0" applyFont="1" applyFill="1" applyBorder="1" applyAlignment="1">
      <alignment horizontal="left" vertical="center" wrapText="1"/>
    </xf>
    <xf numFmtId="0" fontId="36" fillId="60" borderId="40" xfId="0" applyFont="1" applyFill="1" applyBorder="1" applyAlignment="1">
      <alignment horizontal="left" vertical="center" wrapText="1"/>
    </xf>
    <xf numFmtId="0" fontId="35" fillId="61" borderId="21" xfId="0" applyFont="1" applyFill="1" applyBorder="1" applyAlignment="1">
      <alignment horizontal="left" vertical="center" wrapText="1"/>
    </xf>
    <xf numFmtId="0" fontId="37" fillId="0" borderId="0" xfId="0" applyFont="1" applyAlignment="1">
      <alignment wrapText="1"/>
    </xf>
    <xf numFmtId="0" fontId="36" fillId="60" borderId="7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/>
    <xf numFmtId="0" fontId="13" fillId="0" borderId="0" xfId="0" applyFont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0" fillId="7" borderId="0" xfId="0" applyFill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6" borderId="0" xfId="0" applyFill="1" applyAlignment="1">
      <alignment horizontal="center" vertical="top"/>
    </xf>
    <xf numFmtId="0" fontId="0" fillId="18" borderId="2" xfId="0" applyFill="1" applyBorder="1" applyAlignment="1">
      <alignment horizontal="center"/>
    </xf>
    <xf numFmtId="0" fontId="0" fillId="0" borderId="2" xfId="0" applyBorder="1"/>
    <xf numFmtId="0" fontId="0" fillId="17" borderId="8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24" xfId="0" applyFill="1" applyBorder="1" applyAlignment="1">
      <alignment horizontal="center"/>
    </xf>
    <xf numFmtId="0" fontId="0" fillId="18" borderId="21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44" borderId="8" xfId="0" applyFill="1" applyBorder="1" applyAlignment="1">
      <alignment horizontal="center"/>
    </xf>
    <xf numFmtId="0" fontId="0" fillId="44" borderId="16" xfId="0" applyFill="1" applyBorder="1" applyAlignment="1">
      <alignment horizontal="center"/>
    </xf>
    <xf numFmtId="0" fontId="0" fillId="44" borderId="9" xfId="0" applyFill="1" applyBorder="1" applyAlignment="1">
      <alignment horizontal="center"/>
    </xf>
    <xf numFmtId="0" fontId="0" fillId="13" borderId="2" xfId="0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10" borderId="19" xfId="0" applyFont="1" applyFill="1" applyBorder="1" applyAlignment="1">
      <alignment horizontal="center" wrapText="1"/>
    </xf>
    <xf numFmtId="0" fontId="0" fillId="0" borderId="20" xfId="0" applyBorder="1"/>
    <xf numFmtId="0" fontId="0" fillId="0" borderId="19" xfId="0" applyBorder="1"/>
    <xf numFmtId="0" fontId="1" fillId="12" borderId="20" xfId="0" applyFont="1" applyFill="1" applyBorder="1" applyAlignment="1">
      <alignment horizontal="center" wrapText="1"/>
    </xf>
    <xf numFmtId="0" fontId="1" fillId="9" borderId="2" xfId="0" applyFont="1" applyFill="1" applyBorder="1" applyAlignment="1">
      <alignment horizontal="center" wrapText="1"/>
    </xf>
    <xf numFmtId="0" fontId="1" fillId="15" borderId="2" xfId="0" applyFont="1" applyFill="1" applyBorder="1" applyAlignment="1">
      <alignment horizontal="center" wrapText="1"/>
    </xf>
    <xf numFmtId="0" fontId="1" fillId="15" borderId="0" xfId="0" applyFont="1" applyFill="1" applyAlignment="1">
      <alignment horizontal="center" wrapText="1"/>
    </xf>
    <xf numFmtId="0" fontId="0" fillId="15" borderId="27" xfId="0" applyFill="1" applyBorder="1" applyAlignment="1">
      <alignment wrapText="1"/>
    </xf>
    <xf numFmtId="0" fontId="0" fillId="15" borderId="27" xfId="0" applyFill="1" applyBorder="1" applyAlignment="1">
      <alignment horizontal="right" wrapText="1"/>
    </xf>
    <xf numFmtId="0" fontId="0" fillId="15" borderId="29" xfId="0" applyFill="1" applyBorder="1" applyAlignment="1">
      <alignment wrapText="1"/>
    </xf>
    <xf numFmtId="0" fontId="0" fillId="15" borderId="0" xfId="0" applyFill="1" applyAlignment="1">
      <alignment wrapText="1"/>
    </xf>
    <xf numFmtId="0" fontId="0" fillId="15" borderId="0" xfId="0" applyFill="1" applyAlignment="1">
      <alignment horizontal="right" wrapText="1"/>
    </xf>
    <xf numFmtId="0" fontId="1" fillId="11" borderId="2" xfId="0" applyFont="1" applyFill="1" applyBorder="1" applyAlignment="1">
      <alignment horizontal="center" wrapText="1"/>
    </xf>
    <xf numFmtId="0" fontId="0" fillId="11" borderId="28" xfId="0" applyFill="1" applyBorder="1" applyAlignment="1">
      <alignment wrapText="1"/>
    </xf>
    <xf numFmtId="0" fontId="0" fillId="11" borderId="0" xfId="0" applyFill="1" applyAlignment="1">
      <alignment wrapText="1"/>
    </xf>
    <xf numFmtId="0" fontId="1" fillId="34" borderId="0" xfId="0" applyFont="1" applyFill="1" applyAlignment="1">
      <alignment horizontal="center" wrapText="1"/>
    </xf>
    <xf numFmtId="0" fontId="1" fillId="34" borderId="2" xfId="0" applyFont="1" applyFill="1" applyBorder="1" applyAlignment="1">
      <alignment horizontal="center" wrapText="1"/>
    </xf>
    <xf numFmtId="0" fontId="23" fillId="33" borderId="2" xfId="0" applyFont="1" applyFill="1" applyBorder="1" applyAlignment="1">
      <alignment horizontal="center" vertical="center" wrapText="1"/>
    </xf>
    <xf numFmtId="0" fontId="11" fillId="8" borderId="21" xfId="0" applyFont="1" applyFill="1" applyBorder="1" applyAlignment="1">
      <alignment horizontal="left" vertical="center" wrapText="1"/>
    </xf>
    <xf numFmtId="0" fontId="0" fillId="0" borderId="6" xfId="0" applyBorder="1"/>
    <xf numFmtId="0" fontId="0" fillId="0" borderId="21" xfId="0" applyBorder="1"/>
    <xf numFmtId="0" fontId="11" fillId="8" borderId="8" xfId="0" applyFont="1" applyFill="1" applyBorder="1" applyAlignment="1">
      <alignment horizontal="left" vertical="center" wrapText="1"/>
    </xf>
    <xf numFmtId="0" fontId="34" fillId="60" borderId="32" xfId="0" applyFont="1" applyFill="1" applyBorder="1" applyAlignment="1">
      <alignment horizontal="left" vertical="center" wrapText="1"/>
    </xf>
    <xf numFmtId="0" fontId="34" fillId="60" borderId="33" xfId="0" applyFont="1" applyFill="1" applyBorder="1" applyAlignment="1">
      <alignment horizontal="left" vertical="center" wrapText="1"/>
    </xf>
    <xf numFmtId="0" fontId="5" fillId="60" borderId="32" xfId="0" applyFont="1" applyFill="1" applyBorder="1" applyAlignment="1">
      <alignment horizontal="left" vertical="center" wrapText="1"/>
    </xf>
    <xf numFmtId="0" fontId="5" fillId="60" borderId="33" xfId="0" applyFont="1" applyFill="1" applyBorder="1" applyAlignment="1">
      <alignment horizontal="left" vertical="center" wrapText="1"/>
    </xf>
    <xf numFmtId="0" fontId="34" fillId="60" borderId="13" xfId="0" applyFont="1" applyFill="1" applyBorder="1" applyAlignment="1">
      <alignment horizontal="center" vertical="center" wrapText="1"/>
    </xf>
    <xf numFmtId="0" fontId="34" fillId="60" borderId="4" xfId="0" applyFont="1" applyFill="1" applyBorder="1" applyAlignment="1">
      <alignment horizontal="center" vertical="center" wrapText="1"/>
    </xf>
    <xf numFmtId="0" fontId="34" fillId="60" borderId="33" xfId="0" applyFont="1" applyFill="1" applyBorder="1" applyAlignment="1">
      <alignment horizontal="center" vertical="center" wrapText="1"/>
    </xf>
    <xf numFmtId="0" fontId="35" fillId="61" borderId="32" xfId="0" applyFont="1" applyFill="1" applyBorder="1" applyAlignment="1">
      <alignment horizontal="left" vertical="center" wrapText="1"/>
    </xf>
    <xf numFmtId="0" fontId="35" fillId="61" borderId="5" xfId="0" applyFont="1" applyFill="1" applyBorder="1" applyAlignment="1">
      <alignment horizontal="left" vertical="center" wrapText="1"/>
    </xf>
    <xf numFmtId="0" fontId="8" fillId="8" borderId="0" xfId="0" applyFont="1" applyFill="1" applyAlignment="1">
      <alignment horizontal="center" vertical="center" wrapText="1"/>
    </xf>
    <xf numFmtId="0" fontId="9" fillId="8" borderId="0" xfId="0" applyFont="1" applyFill="1" applyAlignment="1">
      <alignment horizontal="center" vertical="center" textRotation="90" wrapText="1"/>
    </xf>
    <xf numFmtId="0" fontId="16" fillId="18" borderId="0" xfId="0" applyFont="1" applyFill="1" applyAlignment="1">
      <alignment horizontal="center" vertical="top"/>
    </xf>
  </cellXfs>
  <cellStyles count="5">
    <cellStyle name="40 % - Akzent1 2" xfId="4" xr:uid="{00000000-0005-0000-0000-000004000000}"/>
    <cellStyle name="Neutral 2" xfId="2" xr:uid="{00000000-0005-0000-0000-000002000000}"/>
    <cellStyle name="Schlecht 2" xfId="3" xr:uid="{00000000-0005-0000-0000-000003000000}"/>
    <cellStyle name="Standard" xfId="0" builtinId="0"/>
    <cellStyle name="Standard 2" xfId="1" xr:uid="{00000000-0005-0000-0000-000001000000}"/>
  </cellStyles>
  <dxfs count="262"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theme="2" tint="-9.9948118533890809E-2"/>
        </patternFill>
      </fill>
    </dxf>
    <dxf>
      <font>
        <color theme="1"/>
      </font>
      <fill>
        <patternFill>
          <bgColor theme="2" tint="-9.9948118533890809E-2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D966"/>
        </patternFill>
      </fill>
    </dxf>
    <dxf>
      <fill>
        <patternFill>
          <bgColor rgb="FF00B050"/>
        </patternFill>
      </fill>
    </dxf>
    <dxf>
      <fill>
        <patternFill>
          <bgColor rgb="FF70AD47"/>
        </patternFill>
      </fill>
    </dxf>
    <dxf>
      <numFmt numFmtId="0" formatCode="General"/>
      <fill>
        <patternFill>
          <fgColor indexed="64"/>
          <bgColor auto="1"/>
        </patternFill>
      </fill>
    </dxf>
    <dxf>
      <numFmt numFmtId="0" formatCode="General"/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numFmt numFmtId="0" formatCode="General"/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>
          <fgColor indexed="64"/>
          <bgColor indexed="65"/>
        </patternFill>
      </fill>
      <alignment horizontal="left" vertical="top" wrapText="1"/>
      <border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>
          <fgColor indexed="64"/>
          <bgColor indexed="65"/>
        </patternFill>
      </fill>
      <alignment horizontal="left" vertical="top" wrapText="1"/>
    </dxf>
    <dxf>
      <border outline="0">
        <bottom style="thin">
          <color indexed="64"/>
        </bottom>
      </border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 patternType="solid">
          <fgColor indexed="64"/>
          <bgColor theme="0" tint="-0.14999847407452621"/>
        </patternFill>
      </fill>
      <alignment horizontal="left" vertical="top" wrapText="1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numFmt numFmtId="164" formatCode="dd/mm/yyyy;@"/>
      <alignment vertical="top" textRotation="0" indent="0" justifyLastLine="0" shrinkToFit="0" readingOrder="0"/>
    </dxf>
    <dxf>
      <numFmt numFmtId="0" formatCode="General"/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0F0F0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D9E7C9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C9E7A7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6969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6969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A7C1EF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C6B3D5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auto="1"/>
          <bgColor rgb="FFB382D8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8B8B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8B8B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8B8B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E8E0EE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DEC8EE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rgb="FFFFB7B7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rgb="FFFFB7B7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theme="2"/>
          <bgColor rgb="FFFFB7B7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D9D9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theme="2"/>
          <bgColor rgb="FFFFB7B7"/>
        </patternFill>
      </fill>
      <alignment horizontal="center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BFBFFF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ill>
        <patternFill patternType="solid">
          <fgColor theme="2"/>
          <bgColor rgb="FFBFBFFF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darkGray">
          <fgColor theme="2"/>
          <bgColor rgb="FF9999FF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B3EBFF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theme="2"/>
          <bgColor rgb="FFB3EBFF"/>
        </patternFill>
      </fill>
      <alignment horizontal="general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65D7FF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65D7FF"/>
        </patternFill>
      </fill>
      <alignment horizontal="general" vertical="top" textRotation="0" wrapText="1" indent="0" justifyLastLine="0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vertical="top" textRotation="0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vertAlign val="baseline"/>
        <sz val="11"/>
        <color theme="1" tint="0.14999847407452621"/>
        <name val="Calibri"/>
        <family val="2"/>
        <scheme val="minor"/>
      </font>
      <border outline="0">
        <left/>
        <right/>
        <top/>
        <bottom/>
      </border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>
          <fgColor indexed="64"/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7" tint="0.3999755851924192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7" tint="0.3999755851924192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alignment vertical="top" textRotation="0" indent="0" justifyLastLine="0" shrinkToFit="0" readingOrder="0"/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>
        <left style="thin">
          <color indexed="64"/>
        </left>
        <right/>
      </border>
      <protection locked="0" hidden="0"/>
    </dxf>
    <dxf>
      <fill>
        <patternFill patternType="solid">
          <fgColor theme="0"/>
          <bgColor rgb="FFFFEFBF"/>
        </patternFill>
      </fill>
      <alignment horizontal="left" vertical="top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0"/>
          <bgColor rgb="FFFFEFBF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alignment vertical="top" textRotation="0" indent="0" justifyLastLine="0" shrinkToFit="0" readingOrder="0"/>
    </dxf>
    <dxf>
      <border outline="0">
        <bottom style="thin">
          <color rgb="FF000000"/>
        </bottom>
      </border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A3A3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solid">
          <fgColor theme="2"/>
          <bgColor rgb="FFC0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000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000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A3A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FFA3A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FFA3A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solid">
          <fgColor theme="2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FFA3A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FFA3A3"/>
        </patternFill>
      </fill>
      <alignment horizontal="center" vertical="top" textRotation="0" wrapText="1" indent="0" justifyLastLine="0" shrinkToFit="0" readingOrder="0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E3E3E3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CEE7BC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theme="2"/>
          <bgColor rgb="FFB4C6E7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0" tint="-0.14999847407452621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4" formatCode="dd/mm/yyyy;@"/>
    </dxf>
    <dxf>
      <numFmt numFmtId="30" formatCode="@"/>
    </dxf>
    <dxf>
      <alignment horizontal="general" vertical="bottom"/>
    </dxf>
  </dxfs>
  <tableStyles count="0" defaultTableStyle="TableStyleMedium2" defaultPivotStyle="PivotStyleLight16"/>
  <colors>
    <mruColors>
      <color rgb="FFFFEFBF"/>
      <color rgb="FFFF0000"/>
      <color rgb="FFFF9900"/>
      <color rgb="FFFFD966"/>
      <color rgb="FF00B050"/>
      <color rgb="FF70AD47"/>
      <color rgb="FFE3E3E3"/>
      <color rgb="FFFFA3A3"/>
      <color rgb="FFF96666"/>
      <color rgb="FFC076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3</xdr:row>
      <xdr:rowOff>304800</xdr:rowOff>
    </xdr:to>
    <xdr:sp macro="" textlink="">
      <xdr:nvSpPr>
        <xdr:cNvPr id="1025" name="AutoShape 1" descr="Von Prompt generiert">
          <a:extLst>
            <a:ext uri="{FF2B5EF4-FFF2-40B4-BE49-F238E27FC236}">
              <a16:creationId xmlns:a16="http://schemas.microsoft.com/office/drawing/2014/main" id="{21AA71E8-FB66-77DF-72A6-026D2587D903}"/>
            </a:ext>
          </a:extLst>
        </xdr:cNvPr>
        <xdr:cNvSpPr>
          <a:spLocks noChangeAspect="1" noChangeArrowheads="1"/>
        </xdr:cNvSpPr>
      </xdr:nvSpPr>
      <xdr:spPr bwMode="auto">
        <a:xfrm>
          <a:off x="1024128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304800</xdr:colOff>
      <xdr:row>4</xdr:row>
      <xdr:rowOff>304800</xdr:rowOff>
    </xdr:to>
    <xdr:sp macro="" textlink="">
      <xdr:nvSpPr>
        <xdr:cNvPr id="1026" name="AutoShape 2" descr="Von Prompt generiert">
          <a:extLst>
            <a:ext uri="{FF2B5EF4-FFF2-40B4-BE49-F238E27FC236}">
              <a16:creationId xmlns:a16="http://schemas.microsoft.com/office/drawing/2014/main" id="{D2A0610C-2FE7-D77B-3A76-15A05F52419C}"/>
            </a:ext>
          </a:extLst>
        </xdr:cNvPr>
        <xdr:cNvSpPr>
          <a:spLocks noChangeAspect="1" noChangeArrowheads="1"/>
        </xdr:cNvSpPr>
      </xdr:nvSpPr>
      <xdr:spPr bwMode="auto">
        <a:xfrm>
          <a:off x="1024128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95249</xdr:colOff>
      <xdr:row>1</xdr:row>
      <xdr:rowOff>0</xdr:rowOff>
    </xdr:from>
    <xdr:to>
      <xdr:col>7</xdr:col>
      <xdr:colOff>742185</xdr:colOff>
      <xdr:row>6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6E65DA-E283-5A22-7F73-CD8181B7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399" y="552450"/>
          <a:ext cx="3028186" cy="2990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bb-my.sharepoint.com/Users/e515274/Downloads/IKT-Minimalstandard-Assessment.Tool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klärung"/>
      <sheetName val="Assessment"/>
      <sheetName val="Resultate"/>
      <sheetName val="Hilfsfunktionen"/>
    </sheetNames>
    <sheetDataSet>
      <sheetData sheetId="0" refreshError="1"/>
      <sheetData sheetId="1" refreshError="1"/>
      <sheetData sheetId="2" refreshError="1"/>
      <sheetData sheetId="3">
        <row r="6">
          <cell r="A6">
            <v>0</v>
          </cell>
        </row>
        <row r="7">
          <cell r="A7">
            <v>1</v>
          </cell>
        </row>
        <row r="8">
          <cell r="A8">
            <v>2</v>
          </cell>
        </row>
        <row r="9">
          <cell r="A9">
            <v>3</v>
          </cell>
        </row>
        <row r="10">
          <cell r="A10">
            <v>4</v>
          </cell>
        </row>
        <row r="11">
          <cell r="A11" t="str">
            <v>n/a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682" displayName="Tabelle682" ref="A3:D4" totalsRowShown="0" headerRowDxfId="261">
  <autoFilter ref="A3:D4" xr:uid="{00000000-0009-0000-0100-000001000000}"/>
  <tableColumns count="4">
    <tableColumn id="1" xr3:uid="{00000000-0010-0000-0000-000001000000}" name="Document Version" dataDxfId="260"/>
    <tableColumn id="4" xr3:uid="{00000000-0010-0000-0000-000004000000}" name="Date" dataDxfId="259"/>
    <tableColumn id="2" xr3:uid="{00000000-0010-0000-0000-000002000000}" name="Change Description"/>
    <tableColumn id="3" xr3:uid="{00000000-0010-0000-0000-000003000000}" name="Author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Risk_Mapping" displayName="Risk_Mapping" ref="H2:I7" totalsRowShown="0">
  <autoFilter ref="H2:I7" xr:uid="{00000000-0009-0000-0100-000006000000}"/>
  <tableColumns count="2">
    <tableColumn id="1" xr3:uid="{00000000-0010-0000-0500-000001000000}" name="Risk"/>
    <tableColumn id="2" xr3:uid="{00000000-0010-0000-0500-000002000000}" name="Value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Impact_Mapping" displayName="Impact_Mapping" ref="K2:L6" totalsRowShown="0" headerRowDxfId="27" dataDxfId="26">
  <autoFilter ref="K2:L6" xr:uid="{00000000-0009-0000-0100-000007000000}"/>
  <tableColumns count="2">
    <tableColumn id="1" xr3:uid="{00000000-0010-0000-0600-000001000000}" name="Impact" dataDxfId="25"/>
    <tableColumn id="2" xr3:uid="{00000000-0010-0000-0600-000002000000}" name="Value" dataDxfId="2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2C8865B-D827-417A-A510-6FA9C60C0C09}" name="Risk_Mapping_Reverse" displayName="Risk_Mapping_Reverse" ref="H9:I14" totalsRowShown="0">
  <autoFilter ref="H9:I14" xr:uid="{42C8865B-D827-417A-A510-6FA9C60C0C09}"/>
  <tableColumns count="2">
    <tableColumn id="1" xr3:uid="{973E96FB-4F1B-448A-BE1D-EB13F150590E}" name="Value" dataDxfId="23">
      <calculatedColumnFormula>I3</calculatedColumnFormula>
    </tableColumn>
    <tableColumn id="2" xr3:uid="{B1C18536-69EE-4DCB-B51C-6D053DE79759}" name="Risk">
      <calculatedColumnFormula>H3</calculatedColumnFormula>
    </tableColumn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B4F075-4F40-4B1E-9CFE-A0F100BE513F}" name="Impact_Mapping_Reverse" displayName="Impact_Mapping_Reverse" ref="K9:L13" totalsRowShown="0" headerRowDxfId="22" dataDxfId="21">
  <autoFilter ref="K9:L13" xr:uid="{97B4F075-4F40-4B1E-9CFE-A0F100BE513F}"/>
  <tableColumns count="2">
    <tableColumn id="1" xr3:uid="{BB17CF6E-3EBE-4349-83E7-CF15F750F28D}" name="Value" dataDxfId="20">
      <calculatedColumnFormula>L3</calculatedColumnFormula>
    </tableColumn>
    <tableColumn id="2" xr3:uid="{8F018014-5B3A-45DF-94E5-DE30F10A7F46}" name="Impact" dataDxfId="19">
      <calculatedColumnFormula>K3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Attacker_Threat_Zone" displayName="Attacker_Threat_Zone" ref="A5:AI64" totalsRowShown="0" headerRowDxfId="258" headerRowBorderDxfId="257" tableBorderDxfId="256">
  <autoFilter ref="A5:AI64" xr:uid="{00000000-0009-0000-0100-000002000000}"/>
  <tableColumns count="35">
    <tableColumn id="5" xr3:uid="{00000000-0010-0000-0100-000005000000}" name="Threat Name" dataDxfId="255"/>
    <tableColumn id="14" xr3:uid="{00000000-0010-0000-0100-00000E000000}" name="IAC" dataDxfId="254"/>
    <tableColumn id="13" xr3:uid="{00000000-0010-0000-0100-00000D000000}" name="UC" dataDxfId="253"/>
    <tableColumn id="12" xr3:uid="{00000000-0010-0000-0100-00000C000000}" name="SI" dataDxfId="252"/>
    <tableColumn id="6" xr3:uid="{00000000-0010-0000-0100-000006000000}" name="DC" dataDxfId="251"/>
    <tableColumn id="4" xr3:uid="{00000000-0010-0000-0100-000004000000}" name="RDF" dataDxfId="250"/>
    <tableColumn id="3" xr3:uid="{00000000-0010-0000-0100-000003000000}" name="TRE" dataDxfId="249"/>
    <tableColumn id="7" xr3:uid="{00000000-0010-0000-0100-000007000000}" name="RA" dataDxfId="248"/>
    <tableColumn id="29" xr3:uid="{6C22605A-453D-41DA-ACB2-9F753CB756B4}" name="Relevance" dataDxfId="247"/>
    <tableColumn id="2" xr3:uid="{F29CA137-FC78-4CF7-B75B-79AC218E4B92}" name="Explanation / Reason why not relevant" dataDxfId="246"/>
    <tableColumn id="10" xr3:uid="{00000000-0010-0000-0100-00000A000000}" name="Exposure" dataDxfId="245"/>
    <tableColumn id="24" xr3:uid="{31FEC6A8-BDAC-47CD-8948-CC7D168D9BAE}" name="Vulnerability" dataDxfId="244"/>
    <tableColumn id="25" xr3:uid="{A9337A48-8EA5-4D19-A814-3892B9EB8F80}" name="Likelihood" dataDxfId="243">
      <calculatedColumnFormula>IF(AND(COUNT(Attacker_Threat_Zone[[#This Row],[Exposure]:[Vulnerability]])=2,Attacker_Threat_Zone[[#This Row],[Relevance]]="Yes"),MAX(Attacker_Threat_Zone[[#This Row],[Exposure]]+Attacker_Threat_Zone[[#This Row],[Vulnerability]]-1,1),"")</calculatedColumnFormula>
    </tableColumn>
    <tableColumn id="8" xr3:uid="{F6074747-D2AF-418D-8150-301761C8D5A1}" name="Impact_x000a_C" dataDxfId="242"/>
    <tableColumn id="9" xr3:uid="{B1AB1E8E-3A65-4887-8A07-A28E261DB7E4}" name="Impact_x000a_I" dataDxfId="241"/>
    <tableColumn id="16" xr3:uid="{549D218D-891A-4CBE-8251-22F7E2EF3B31}" name="Impact_x000a_A" dataDxfId="240"/>
    <tableColumn id="37" xr3:uid="{48C9B3DE-C225-4E6B-8174-CD0A7A181D6E}" name="Impact_x000a_C-Value" dataDxfId="239">
      <calculatedColumnFormula>IFERROR(VLOOKUP(Attacker_Threat_Zone[[#This Row],[Impact
C]],Impact_Mapping[],2,FALSE),0)</calculatedColumnFormula>
    </tableColumn>
    <tableColumn id="28" xr3:uid="{989C7259-D689-4780-97A1-F708849A97AB}" name="Impact_x000a_I -Value" dataDxfId="238">
      <calculatedColumnFormula>IFERROR(VLOOKUP(Attacker_Threat_Zone[[#This Row],[Impact
I]],Impact_Mapping[],2,FALSE),0)</calculatedColumnFormula>
    </tableColumn>
    <tableColumn id="15" xr3:uid="{23A1875D-9D57-4E28-9B5D-325EBBEC74FB}" name="Impact_x000a_A-Value" dataDxfId="237">
      <calculatedColumnFormula>IFERROR(VLOOKUP(Attacker_Threat_Zone[[#This Row],[Impact
A]],Impact_Mapping[],2,FALSE),0)</calculatedColumnFormula>
    </tableColumn>
    <tableColumn id="27" xr3:uid="{D80AC112-4A00-4003-9637-360B72D7EA2E}" name="Impact_x000a_Max" dataDxfId="236">
      <calculatedColumnFormula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calculatedColumnFormula>
    </tableColumn>
    <tableColumn id="17" xr3:uid="{9601B8BD-E1E8-4C67-BD17-728673305F30}" name="Risk_x000a_C" dataDxfId="235">
      <calculatedColumnFormula array="1">INDEX(Risk!$C$4:$F$8,Attacker_Threat_Zone[[#This Row],[Likelihood]],VLOOKUP(Attacker_Threat_Zone[[#This Row],[Impact
C]],Impact_Mapping[],2,FALSE))</calculatedColumnFormula>
    </tableColumn>
    <tableColumn id="18" xr3:uid="{09A94214-48C8-4783-B072-9A100CBA4886}" name="Risk_x000a_I" dataDxfId="234">
      <calculatedColumnFormula array="1">INDEX(Risk!$C$4:$F$8,Attacker_Threat_Zone[[#This Row],[Likelihood]],VLOOKUP(Attacker_Threat_Zone[[#This Row],[Impact
I]],Impact_Mapping[],2,FALSE))</calculatedColumnFormula>
    </tableColumn>
    <tableColumn id="19" xr3:uid="{52F84CED-B0C9-45A8-8B09-A19EDC437C4D}" name="Risk_x000a_A" dataDxfId="233">
      <calculatedColumnFormula array="1">INDEX(Risk!$C$4:$F$8,Attacker_Threat_Zone[[#This Row],[Likelihood]],VLOOKUP(Attacker_Threat_Zone[[#This Row],[Impact
A]],Impact_Mapping[],2,FALSE))</calculatedColumnFormula>
    </tableColumn>
    <tableColumn id="20" xr3:uid="{FCDFD8C2-B553-4EA9-9253-639F50FB241A}" name="Risk_x000a_Max" dataDxfId="232">
      <calculatedColumnFormula array="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calculatedColumnFormula>
    </tableColumn>
    <tableColumn id="1" xr3:uid="{00000000-0010-0000-0100-000001000000}" name="Justification for risk parameters" dataDxfId="231"/>
    <tableColumn id="21" xr3:uid="{D26FBDB0-3F8D-4795-8C34-402938442C67}" name="SL_x000a_C" dataDxfId="230">
      <calculatedColumnFormula>IF(Attacker_Threat_Zone[[#This Row],[Relevance]]="No"," ",MAX(VLOOKUP(Attacker_Threat_Zone[[#This Row],[Risk
C]],SL_Mapping[],2,FALSE),0))</calculatedColumnFormula>
    </tableColumn>
    <tableColumn id="22" xr3:uid="{9581879D-5B16-49AD-ABA8-9E787746F7C5}" name="SL_x000a_I" dataDxfId="229">
      <calculatedColumnFormula>IF(Attacker_Threat_Zone[[#This Row],[Relevance]]="No"," ",MAX(VLOOKUP(Attacker_Threat_Zone[[#This Row],[Risk
I]],SL_Mapping[],2,FALSE),0))</calculatedColumnFormula>
    </tableColumn>
    <tableColumn id="23" xr3:uid="{F540F9FD-6F56-4D53-88C8-0706E7869580}" name="SL_x000a_A" dataDxfId="228">
      <calculatedColumnFormula>IF(Attacker_Threat_Zone[[#This Row],[Relevance]]="No"," ",MAX(VLOOKUP(Attacker_Threat_Zone[[#This Row],[Risk
A]],SL_Mapping[],2,FALSE),0))</calculatedColumnFormula>
    </tableColumn>
    <tableColumn id="30" xr3:uid="{30A98969-2AD5-494E-9A2E-13951E4DB094}" name="IAC_Value" dataDxfId="227">
      <calculatedColumnFormula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calculatedColumnFormula>
    </tableColumn>
    <tableColumn id="31" xr3:uid="{4BA55BB7-70A9-4F5A-81A8-6D62EE605186}" name="UC_Value" dataDxfId="226">
      <calculatedColumnFormula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calculatedColumnFormula>
    </tableColumn>
    <tableColumn id="32" xr3:uid="{8CBDB2FF-EE20-416B-8FD1-7A571B018939}" name="SI_Value" dataDxfId="225">
      <calculatedColumnFormula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calculatedColumnFormula>
    </tableColumn>
    <tableColumn id="33" xr3:uid="{A1051C98-BD9B-4E55-AEE0-216650403790}" name="DC_Value" dataDxfId="224">
      <calculatedColumnFormula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calculatedColumnFormula>
    </tableColumn>
    <tableColumn id="34" xr3:uid="{49D9BFF0-906D-494E-B473-C17BB5C4EB07}" name="RDF_Value" dataDxfId="223">
      <calculatedColumnFormula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calculatedColumnFormula>
    </tableColumn>
    <tableColumn id="35" xr3:uid="{1C41578D-7B09-406E-99AD-CBE57682B0B6}" name="TRE_Value" dataDxfId="222">
      <calculatedColumnFormula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calculatedColumnFormula>
    </tableColumn>
    <tableColumn id="36" xr3:uid="{5318FEC2-F315-42B0-935A-A52C2118726B}" name="RA_Value" dataDxfId="221">
      <calculatedColumnFormula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7593C43-785C-4C6E-BFE3-85C8AA694A8F}" name="SL_CC_Calc" displayName="SL_CC_Calc" ref="O4:S11" totalsRowShown="0" headerRowDxfId="220">
  <autoFilter ref="O4:S11" xr:uid="{77593C43-785C-4C6E-BFE3-85C8AA694A8F}"/>
  <tableColumns count="5">
    <tableColumn id="1" xr3:uid="{931DAF23-D60F-4C29-A5CB-B3A6F7A9E151}" name="Raw SL-A (P)">
      <calculatedColumnFormula>_xlfn.MINIFS(Measure_62443_3_3[lowest SL-T],Measure_62443_3_3[FR],'SL-T'!D5,Measure_62443_3_3[Requirement Selected (Prefulfilled or Revoked)],"")-1</calculatedColumnFormula>
    </tableColumn>
    <tableColumn id="2" xr3:uid="{85FAA727-D9F4-454E-9DDB-8B962F6972D8}" name="Raw SL-A (P+M)">
      <calculatedColumnFormula>_xlfn.MINIFS(Measure_62443_3_3[lowest SL-T],Measure_62443_3_3[FR],'SL-T'!D5,Measure_62443_3_3[Requirement Selected (Prefulfilled + Mitigating or Revoked)],"")-1</calculatedColumnFormula>
    </tableColumn>
    <tableColumn id="3" xr3:uid="{7597C16F-04A2-418C-AAEA-67BFA95CD46E}" name="Max SL-A">
      <calculatedColumnFormula>_xlfn.MAXIFS(Measure_62443_3_3[lowest SL-T],Measure_62443_3_3[FR],'SL-T'!D5)</calculatedColumnFormula>
    </tableColumn>
    <tableColumn id="4" xr3:uid="{842BACC8-9B71-450A-BCA4-736B63E1DAEA}" name="Max SL-Fulfilled (P)" dataDxfId="219">
      <calculatedColumnFormula>_xlfn.MAXIFS(Measure_62443_3_3[lowest SL-T],Measure_62443_3_3[FR],'SL-T'!D5,Measure_62443_3_3[Requirement Selected (Prefulfilled)],"X")</calculatedColumnFormula>
    </tableColumn>
    <tableColumn id="5" xr3:uid="{F0EF9B64-183B-4DC4-8754-2824C98AC355}" name="Max SL-Fulfilled (P+M)" dataDxfId="218">
      <calculatedColumnFormula>_xlfn.MAXIFS(Measure_62443_3_3[lowest SL-T],Measure_62443_3_3[FR],'SL-T'!D5,Measure_62443_3_3[Requirement Selected (Prefulfilled + Mitigating)],"X")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easure_62443_3_3" displayName="Measure_62443_3_3" ref="A3:BR103" totalsRowShown="0" dataDxfId="216" headerRowBorderDxfId="217" tableBorderDxfId="215">
  <autoFilter ref="A3:BR103" xr:uid="{00000000-0009-0000-0100-000003000000}">
    <filterColumn colId="8">
      <customFilters>
        <customFilter operator="notEqual" val=" "/>
      </customFilters>
    </filterColumn>
  </autoFilter>
  <tableColumns count="70">
    <tableColumn id="1" xr3:uid="{00000000-0010-0000-0200-000001000000}" name="Official ID (62443-3-3 -2013)" dataDxfId="214"/>
    <tableColumn id="2" xr3:uid="{00000000-0010-0000-0200-000002000000}" name="FR" dataDxfId="213"/>
    <tableColumn id="3" xr3:uid="{00000000-0010-0000-0200-000003000000}" name="lowest SL-T" dataDxfId="212"/>
    <tableColumn id="4" xr3:uid="{00000000-0010-0000-0200-000004000000}" name="62443-3-3 2013" dataDxfId="211"/>
    <tableColumn id="53" xr3:uid="{00000000-0010-0000-0200-000035000000}" name="Requirement Selected (Prefulfilled)" dataDxfId="210">
      <calculatedColumnFormula>IF(COUNTIF(Measure_62443_3_3[[#This Row],[G 0.13 Interception of Compromising Interference Signals]:[OPS.1.1.3.8 Manipulation of data and tools during patch and change management]],"P")&gt;0,"X","")</calculatedColumnFormula>
    </tableColumn>
    <tableColumn id="58" xr3:uid="{8F6413CA-C607-470A-90B6-00FAFC1E3347}" name="Requirement Selected (Prefulfilled or Revoked)" dataDxfId="209">
      <calculatedColumnFormula>IF(OR(Measure_62443_3_3[[#This Row],[Requirement Selected (Prefulfilled)]]="X",Measure_62443_3_3[[#This Row],[Relevance revoked]]="Yes"),"X","")</calculatedColumnFormula>
    </tableColumn>
    <tableColumn id="54" xr3:uid="{1C991D13-3FA5-49F6-BB84-FB4029073EE8}" name="Requirement Selected (Prefulfilled + Mitigating)" dataDxfId="208">
      <calculatedColumnFormula>IF(COUNTIF(Measure_62443_3_3[[#This Row],[G 0.13 Interception of Compromising Interference Signals]:[OPS.1.1.3.8 Manipulation of data and tools during patch and change management]],"P")&gt;0,"X","")</calculatedColumnFormula>
    </tableColumn>
    <tableColumn id="59" xr3:uid="{F7FE8B50-50A1-4B5F-A2D7-EA2B5435B277}" name="Requirement Selected (Prefulfilled + Mitigating or Revoked)" dataDxfId="207">
      <calculatedColumnFormula>IF(OR(Measure_62443_3_3[[#This Row],[Requirement Selected (Prefulfilled + Mitigating)]]="X",Measure_62443_3_3[[#This Row],[Relevance revoked]]="Yes"),"X","")</calculatedColumnFormula>
    </tableColumn>
    <tableColumn id="5" xr3:uid="{00000000-0010-0000-0200-000005000000}" name="Relevance" dataDxfId="206">
      <calculatedColumnFormula>IF(VLOOKUP(Measure_62443_3_3[[#This Row],[FR]],'SL-T'!$A$5:$B$11,2,FALSE)&gt;=Measure_62443_3_3[[#This Row],[lowest SL-T]],"X","")</calculatedColumnFormula>
    </tableColumn>
    <tableColumn id="56" xr3:uid="{29A5F973-B777-40E4-8C77-065864292DFE}" name="Relevance revoked" dataDxfId="205"/>
    <tableColumn id="55" xr3:uid="{00000000-0010-0000-0200-000037000000}" name="Reason why the SR has not been selected and why it is not relevant." dataDxfId="204"/>
    <tableColumn id="6" xr3:uid="{00000000-0010-0000-0200-000006000000}" name="G 0.13 Interception of Compromising Interference Signals" dataDxfId="203"/>
    <tableColumn id="7" xr3:uid="{00000000-0010-0000-0200-000007000000}" name="G 0.14 Interception of Information / Espionage " dataDxfId="202"/>
    <tableColumn id="8" xr3:uid="{00000000-0010-0000-0200-000008000000}" name="G 0.15 Eavesdropping" dataDxfId="201"/>
    <tableColumn id="9" xr3:uid="{00000000-0010-0000-0200-000009000000}" name="G 0.16 Theft of Devices, Storage Media and Documents" dataDxfId="200"/>
    <tableColumn id="10" xr3:uid="{00000000-0010-0000-0200-00000A000000}" name="G 0.17 Loss of Devices, Storage Media and Documents" dataDxfId="199"/>
    <tableColumn id="11" xr3:uid="{00000000-0010-0000-0200-00000B000000}" name="G 0.19 Disclosure of Sensitive Information" dataDxfId="198"/>
    <tableColumn id="12" xr3:uid="{00000000-0010-0000-0200-00000C000000}" name="G 0.20 Information or Products from an Unreliable Source" dataDxfId="197"/>
    <tableColumn id="13" xr3:uid="{00000000-0010-0000-0200-00000D000000}" name="G 0.21 Manipulation of Hardware or Software" dataDxfId="196"/>
    <tableColumn id="14" xr3:uid="{00000000-0010-0000-0200-00000E000000}" name="G 0.22 Manipulation of Information" dataDxfId="195"/>
    <tableColumn id="15" xr3:uid="{00000000-0010-0000-0200-00000F000000}" name="G 0.23 Unauthorised Access to IT Systems" dataDxfId="194"/>
    <tableColumn id="16" xr3:uid="{00000000-0010-0000-0200-000010000000}" name="G 0.24 Destruction of Devices or Storage Media" dataDxfId="193"/>
    <tableColumn id="17" xr3:uid="{00000000-0010-0000-0200-000011000000}" name="G 0.28 Software Vulnerabilities or Errors" dataDxfId="192"/>
    <tableColumn id="19" xr3:uid="{00000000-0010-0000-0200-000013000000}" name="G 0.30 Unauthorised Use or Administration of Devices and Systems" dataDxfId="191"/>
    <tableColumn id="20" xr3:uid="{00000000-0010-0000-0200-000014000000}" name="G 0.31 Incorrect Use or Administration of Devices and Systems" dataDxfId="190"/>
    <tableColumn id="21" xr3:uid="{00000000-0010-0000-0200-000015000000}" name="G 0.32 Misuse of Authorisation" dataDxfId="189"/>
    <tableColumn id="22" xr3:uid="{00000000-0010-0000-0200-000016000000}" name="G 0.35 Coercion, Blackmail or Corruption" dataDxfId="188"/>
    <tableColumn id="23" xr3:uid="{00000000-0010-0000-0200-000017000000}" name="G 0.36 Identity Theft" dataDxfId="187"/>
    <tableColumn id="24" xr3:uid="{00000000-0010-0000-0200-000018000000}" name="G 0.37 Repudiation of Actions" dataDxfId="186"/>
    <tableColumn id="25" xr3:uid="{00000000-0010-0000-0200-000019000000}" name="G 0.38 Misuse of Personal Information" dataDxfId="185"/>
    <tableColumn id="26" xr3:uid="{00000000-0010-0000-0200-00001A000000}" name="G 0.39 Malware" dataDxfId="184"/>
    <tableColumn id="27" xr3:uid="{00000000-0010-0000-0200-00001B000000}" name="G 0.40 Denial of Service" dataDxfId="183"/>
    <tableColumn id="28" xr3:uid="{00000000-0010-0000-0200-00001C000000}" name="G 0.42 Social Engineering" dataDxfId="182"/>
    <tableColumn id="29" xr3:uid="{00000000-0010-0000-0200-00001D000000}" name="G 0.43 Attack with Specially Crafted Messages" dataDxfId="181"/>
    <tableColumn id="30" xr3:uid="{00000000-0010-0000-0200-00001E000000}" name="G 0.44 Unauthorised Entry to Premises" dataDxfId="180"/>
    <tableColumn id="31" xr3:uid="{00000000-0010-0000-0200-00001F000000}" name="G 0.45 Data Loss" dataDxfId="179"/>
    <tableColumn id="32" xr3:uid="{00000000-0010-0000-0200-000020000000}" name="G 0.46 Loss of Integrity of Sensitive Information" dataDxfId="178"/>
    <tableColumn id="33" xr3:uid="{00000000-0010-0000-0200-000021000000}" name="G 0.47 Harmful Side Effects of IT-Supported Attacks" dataDxfId="177"/>
    <tableColumn id="34" xr3:uid="{00000000-0010-0000-0200-000022000000}" name="IND.1.2 Insufficient integration of OT into the security organisation" dataDxfId="176"/>
    <tableColumn id="35" xr3:uid="{00000000-0010-0000-0200-000023000000}" name="IND.1.3 Insufficient integration of OT into operational processes" dataDxfId="175"/>
    <tableColumn id="36" xr3:uid="{00000000-0010-0000-0200-000024000000}" name="IND.1.4 Insufficient access protection" dataDxfId="174"/>
    <tableColumn id="37" xr3:uid="{00000000-0010-0000-0200-000025000000}" name="IND.1.5 Insecure project planning process/application development process" dataDxfId="173"/>
    <tableColumn id="38" xr3:uid="{00000000-0010-0000-0200-000026000000}" name="IND.1.6 Insecure administration concept and remote administration" dataDxfId="172"/>
    <tableColumn id="39" xr3:uid="{00000000-0010-0000-0200-000027000000}" name="IND.1.7 Insufficient monitoring and detection procedures" dataDxfId="171"/>
    <tableColumn id="40" xr3:uid="{00000000-0010-0000-0200-000028000000}" name="IND.1.8 Insufficient test concept" dataDxfId="170"/>
    <tableColumn id="41" xr3:uid="{00000000-0010-0000-0200-000029000000}" name="IND.1.9 Insufficient life cycle concepts" dataDxfId="169"/>
    <tableColumn id="42" xr3:uid="{00000000-0010-0000-0200-00002A000000}" name="IND.1.10 Insufficient security requirements for procurement" dataDxfId="168"/>
    <tableColumn id="43" xr3:uid="{00000000-0010-0000-0200-00002B000000}" name="IND.1.11 Use of insecure protocols" dataDxfId="167"/>
    <tableColumn id="44" xr3:uid="{00000000-0010-0000-0200-00002C000000}" name="IND.1.12 Insecure configurations of components" dataDxfId="166"/>
    <tableColumn id="45" xr3:uid="{00000000-0010-0000-0200-00002D000000}" name="IND.1.13 Dependencies of OT on IT networks" dataDxfId="165"/>
    <tableColumn id="46" xr3:uid="{00000000-0010-0000-0200-00002E000000}" name="IND.2.1.2 Insufficient user and authorisation management" dataDxfId="164"/>
    <tableColumn id="47" xr3:uid="{00000000-0010-0000-0200-00002F000000}" name="IND.2.1.3 Insufficient logging" dataDxfId="163"/>
    <tableColumn id="48" xr3:uid="{00000000-0010-0000-0200-000030000000}" name="IND.2.1.9 Manipulated firmware" dataDxfId="162"/>
    <tableColumn id="49" xr3:uid="{00000000-0010-0000-0200-000031000000}" name="IND.2.2.1 Incomplete documentation" dataDxfId="161"/>
    <tableColumn id="50" xr3:uid="{00000000-0010-0000-0200-000032000000}" name="IND.3.2.1 Incompletely documented remote maintenance access in the OT" dataDxfId="160"/>
    <tableColumn id="51" xr3:uid="{00000000-0010-0000-0200-000033000000}" name="IND.3.2.2 Insufficient availability due to dependencies on office and building IT" dataDxfId="159"/>
    <tableColumn id="52" xr3:uid="{00000000-0010-0000-0200-000034000000}" name="IND.3.2.3 Insufficient regulations for the use of OT remote maintenance access" dataDxfId="158"/>
    <tableColumn id="57" xr3:uid="{7BA0810E-EAF0-4F75-936C-97E12A65793F}" name="IND.3.2.4 Insufficient human oversight over OT remote maintenance sessions" dataDxfId="157"/>
    <tableColumn id="60" xr3:uid="{60335EB6-6D4E-4FF3-8FB9-26DF680163A3}" name="IND.3.2.5 Direct IP-based access to systems from insecure zones" dataDxfId="156"/>
    <tableColumn id="61" xr3:uid="{C4AFA839-361E-4017-9650-976E5A474CAC}" name="IND.3.2.6 Insecure alternative OT remote maintenance access in the event of faults" dataDxfId="155"/>
    <tableColumn id="62" xr3:uid="{0F472DA3-5445-447D-B531-CF139E60E8D1}" name="IND.3.2.7 Insecure design of OT remote maintenance accesses" dataDxfId="154"/>
    <tableColumn id="63" xr3:uid="{80E425FC-4D78-4EC3-914E-8A2175EBCBF4}" name="IND.3.2.8 Outdated technical concepts for OT remote maintenance access" dataDxfId="153"/>
    <tableColumn id="64" xr3:uid="{C773F664-95B2-4A30-92ED-E6F5C07EA28B}" name="CON.1.1 Insufficient key management for encryption" dataDxfId="152"/>
    <tableColumn id="65" xr3:uid="{6188AC6F-87ED-4974-8905-7EF8502BF4B0}" name="CON.1.8 Compromise of cryptographic keys" dataDxfId="151"/>
    <tableColumn id="66" xr3:uid="{6CB669A9-CD37-4D42-AF7B-113B5730B41A}" name="CON.1.9 Forged certificates" dataDxfId="150"/>
    <tableColumn id="67" xr3:uid="{3D35E5E0-1F96-41DB-ADFA-3A0980606970}" name="CON.3.1 Missing data backup" dataDxfId="149"/>
    <tableColumn id="68" xr3:uid="{533D72E0-A2CA-4606-A1C9-852AA0A97892}" name="CON.3.2 Missing recovery tests" dataDxfId="148"/>
    <tableColumn id="69" xr3:uid="{F29EDA24-0324-471D-B9E3-E3C90322E172}" name="OPS.1.1.3.5 Problems with the automated distribution of patches and changes" dataDxfId="147"/>
    <tableColumn id="70" xr3:uid="{1F5F6E1E-B8FA-4FDF-B4AE-AF79B85E86CD}" name="OPS.1.1.3.6 Insufficient recovery options for patch and change management" dataDxfId="146"/>
    <tableColumn id="71" xr3:uid="{41AE9B02-E74F-4516-B442-ED6ABB5C4FE1}" name="OPS.1.1.3.8 Manipulation of data and tools during patch and change management" dataDxfId="145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Measure_62443_2_1" displayName="Measure_62443_2_1" ref="A3:BJ92" totalsRowShown="0" dataDxfId="143" headerRowBorderDxfId="144" tableBorderDxfId="142">
  <autoFilter ref="A3:BJ92" xr:uid="{00000000-0009-0000-0100-000004000000}"/>
  <tableColumns count="62">
    <tableColumn id="1" xr3:uid="{00000000-0010-0000-0300-000001000000}" name="Official ID (62443-2-1 -2020)" dataDxfId="141"/>
    <tableColumn id="4" xr3:uid="{00000000-0010-0000-0300-000004000000}" name="62443-2-1 2020" dataDxfId="140"/>
    <tableColumn id="53" xr3:uid="{00000000-0010-0000-0300-000035000000}" name="Requirement Selected" dataDxfId="139">
      <calculatedColumnFormula>IF(COUNTIF(Measure_62443_2_1[[#This Row],[G 0.13 Interception of Compromising Interference Signals]:[OPS.1.1.3.8 Manipulation of data and tools during patch and change management]],"X")&gt;0,"X","")</calculatedColumnFormula>
    </tableColumn>
    <tableColumn id="6" xr3:uid="{00000000-0010-0000-0300-000006000000}" name="G 0.13 Interception of Compromising Interference Signals" dataDxfId="138"/>
    <tableColumn id="7" xr3:uid="{00000000-0010-0000-0300-000007000000}" name="G 0.14 Interception of Information / Espionage " dataDxfId="137"/>
    <tableColumn id="8" xr3:uid="{00000000-0010-0000-0300-000008000000}" name="G 0.15 Eavesdropping" dataDxfId="136"/>
    <tableColumn id="9" xr3:uid="{00000000-0010-0000-0300-000009000000}" name="G 0.16 Theft of Devices, Storage Media and Documents" dataDxfId="135"/>
    <tableColumn id="10" xr3:uid="{00000000-0010-0000-0300-00000A000000}" name="G 0.17 Loss of Devices, Storage Media and Documents" dataDxfId="134"/>
    <tableColumn id="11" xr3:uid="{00000000-0010-0000-0300-00000B000000}" name="G 0.19 Disclosure of Sensitive Information" dataDxfId="133"/>
    <tableColumn id="12" xr3:uid="{00000000-0010-0000-0300-00000C000000}" name="G 0.20 Information or Products from an Unreliable Source" dataDxfId="132"/>
    <tableColumn id="13" xr3:uid="{00000000-0010-0000-0300-00000D000000}" name="G 0.21 Manipulation of Hardware or Software" dataDxfId="131"/>
    <tableColumn id="14" xr3:uid="{00000000-0010-0000-0300-00000E000000}" name="G 0.22 Manipulation of Information" dataDxfId="130"/>
    <tableColumn id="15" xr3:uid="{00000000-0010-0000-0300-00000F000000}" name="G 0.23 Unauthorised Access to IT Systems" dataDxfId="129"/>
    <tableColumn id="16" xr3:uid="{00000000-0010-0000-0300-000010000000}" name="G 0.24 Destruction of Devices or Storage Media" dataDxfId="128"/>
    <tableColumn id="17" xr3:uid="{00000000-0010-0000-0300-000011000000}" name="G 0.28 Software Vulnerabilities or Errors" dataDxfId="127"/>
    <tableColumn id="19" xr3:uid="{00000000-0010-0000-0300-000013000000}" name="G 0.30 Unauthorised Use or Administration of Devices and Systems" dataDxfId="126"/>
    <tableColumn id="20" xr3:uid="{00000000-0010-0000-0300-000014000000}" name="G 0.31 Incorrect Use or Administration of Devices and Systems" dataDxfId="125"/>
    <tableColumn id="21" xr3:uid="{00000000-0010-0000-0300-000015000000}" name="G 0.32 Misuse of Authorisation" dataDxfId="124"/>
    <tableColumn id="22" xr3:uid="{00000000-0010-0000-0300-000016000000}" name="G 0.35 Coercion, Blackmail or Corruption" dataDxfId="123"/>
    <tableColumn id="23" xr3:uid="{00000000-0010-0000-0300-000017000000}" name="G 0.36 Identity Theft" dataDxfId="122"/>
    <tableColumn id="24" xr3:uid="{00000000-0010-0000-0300-000018000000}" name="G 0.37 Repudiation of Actions" dataDxfId="121"/>
    <tableColumn id="25" xr3:uid="{00000000-0010-0000-0300-000019000000}" name="G 0.38 Misuse of Personal Information" dataDxfId="120"/>
    <tableColumn id="26" xr3:uid="{00000000-0010-0000-0300-00001A000000}" name="G 0.39 Malware" dataDxfId="119"/>
    <tableColumn id="27" xr3:uid="{00000000-0010-0000-0300-00001B000000}" name="G 0.40 Denial of Service" dataDxfId="118"/>
    <tableColumn id="28" xr3:uid="{00000000-0010-0000-0300-00001C000000}" name="G 0.42 Social Engineering" dataDxfId="117"/>
    <tableColumn id="29" xr3:uid="{00000000-0010-0000-0300-00001D000000}" name="G 0.43 Attack with Specially Crafted Messages" dataDxfId="116"/>
    <tableColumn id="30" xr3:uid="{00000000-0010-0000-0300-00001E000000}" name="G 0.44 Unauthorised Entry to Premises" dataDxfId="115"/>
    <tableColumn id="31" xr3:uid="{00000000-0010-0000-0300-00001F000000}" name="G 0.45 Data Loss" dataDxfId="114"/>
    <tableColumn id="32" xr3:uid="{00000000-0010-0000-0300-000020000000}" name="G 0.46 Loss of Integrity of Sensitive Information" dataDxfId="113"/>
    <tableColumn id="33" xr3:uid="{00000000-0010-0000-0300-000021000000}" name="G 0.47 Harmful Side Effects of IT-Supported Attacks" dataDxfId="112"/>
    <tableColumn id="34" xr3:uid="{00000000-0010-0000-0300-000022000000}" name="IND.1.2 Insufficient integration of OT into the security organisation" dataDxfId="111"/>
    <tableColumn id="35" xr3:uid="{00000000-0010-0000-0300-000023000000}" name="IND.1.3 Insufficient integration of OT into operational processes" dataDxfId="110"/>
    <tableColumn id="36" xr3:uid="{00000000-0010-0000-0300-000024000000}" name="IND.1.4 Insufficient access protection" dataDxfId="109"/>
    <tableColumn id="37" xr3:uid="{00000000-0010-0000-0300-000025000000}" name="IND.1.5 Insecure project planning process/application development process" dataDxfId="108"/>
    <tableColumn id="38" xr3:uid="{00000000-0010-0000-0300-000026000000}" name="IND.1.6 Insecure administration concept and remote administration" dataDxfId="107"/>
    <tableColumn id="39" xr3:uid="{00000000-0010-0000-0300-000027000000}" name="IND.1.7 Insufficient monitoring and detection procedures" dataDxfId="106"/>
    <tableColumn id="40" xr3:uid="{00000000-0010-0000-0300-000028000000}" name="IND.1.8 Insufficient test concept" dataDxfId="105"/>
    <tableColumn id="41" xr3:uid="{00000000-0010-0000-0300-000029000000}" name="IND.1.9 Insufficient life cycle concepts" dataDxfId="104"/>
    <tableColumn id="42" xr3:uid="{00000000-0010-0000-0300-00002A000000}" name="IND.1.10 Insufficient security requirements for procurement" dataDxfId="103"/>
    <tableColumn id="43" xr3:uid="{00000000-0010-0000-0300-00002B000000}" name="IND.1.11 Use of insecure protocols" dataDxfId="102"/>
    <tableColumn id="44" xr3:uid="{00000000-0010-0000-0300-00002C000000}" name="IND.1.12 Insecure configurations of components" dataDxfId="101"/>
    <tableColumn id="45" xr3:uid="{00000000-0010-0000-0300-00002D000000}" name="IND.1.13 Dependencies of OT on IT networks" dataDxfId="100"/>
    <tableColumn id="46" xr3:uid="{00000000-0010-0000-0300-00002E000000}" name="IND.2.1.2 Insufficient user and authorisation management" dataDxfId="99"/>
    <tableColumn id="47" xr3:uid="{00000000-0010-0000-0300-00002F000000}" name="IND.2.1.3 Insufficient logging" dataDxfId="98"/>
    <tableColumn id="48" xr3:uid="{00000000-0010-0000-0300-000030000000}" name="IND.2.1.9 Manipulated firmware" dataDxfId="97"/>
    <tableColumn id="49" xr3:uid="{00000000-0010-0000-0300-000031000000}" name="IND.2.2.1 Incomplete documentation" dataDxfId="96"/>
    <tableColumn id="50" xr3:uid="{00000000-0010-0000-0300-000032000000}" name="IND.3.2.1 Incompletely documented remote maintenance access in the OT" dataDxfId="95"/>
    <tableColumn id="51" xr3:uid="{00000000-0010-0000-0300-000033000000}" name="IND.3.2.2 Insufficient availability due to dependencies on office and building IT" dataDxfId="94"/>
    <tableColumn id="52" xr3:uid="{00000000-0010-0000-0300-000034000000}" name="IND.3.2.3 Insufficient regulations for the use of OT remote maintenance access" dataDxfId="93"/>
    <tableColumn id="2" xr3:uid="{472379E7-15E3-40CB-B67E-E4AE7E9B9A54}" name="IND.3.2.4 Insufficient human oversight over OT remote maintenance sessions" dataDxfId="92"/>
    <tableColumn id="3" xr3:uid="{ADCCC1B3-A0CC-4D10-A317-B5BBBE1714B5}" name="IND.3.2.5 Direct IP-based access to systems from insecure zones" dataDxfId="91"/>
    <tableColumn id="5" xr3:uid="{3D1AB9E3-8974-49AA-8B84-D3B23910E048}" name="IND.3.2.6 Insecure alternative OT remote maintenance access in the event of faults" dataDxfId="90"/>
    <tableColumn id="54" xr3:uid="{916B8A42-3BE0-4F61-88B2-CE0524AEC87E}" name="IND.3.2.7 Insecure design of OT remote maintenance accesses" dataDxfId="89"/>
    <tableColumn id="55" xr3:uid="{6E28CB21-BF4E-4C60-AB7E-BA3E62B092BC}" name="IND.3.2.8 Outdated technical concepts for OT remote maintenance access" dataDxfId="88"/>
    <tableColumn id="56" xr3:uid="{338EE4F3-6E00-4430-B4F1-3EA0E542AC27}" name="CON.1.1 Insufficient key management for encryption" dataDxfId="87"/>
    <tableColumn id="57" xr3:uid="{E4B9D66E-8853-4BC6-9158-79BB5AE10FB9}" name="CON.1.8 Compromise of cryptographic keys" dataDxfId="86"/>
    <tableColumn id="58" xr3:uid="{4E1C66AC-E721-4656-BCEC-7876E8A21F0C}" name="CON.1.9 Forged certificates" dataDxfId="85"/>
    <tableColumn id="59" xr3:uid="{AB62DBF7-9A1E-4B97-AAC4-7928A8B1A42B}" name="CON.3.1 Missing data backup" dataDxfId="84"/>
    <tableColumn id="60" xr3:uid="{4D45747E-DEE3-4B8E-B968-0E9681C43F8A}" name="CON.3.2 Missing recovery tests" dataDxfId="83"/>
    <tableColumn id="61" xr3:uid="{C3A4DAD4-411D-43EC-9E9D-53A129A17046}" name="OPS.1.1.3.5 Problems with the automated distribution of patches and changes" dataDxfId="82"/>
    <tableColumn id="62" xr3:uid="{8039AC12-BD1F-4E77-862C-BDBF22D33FB7}" name="OPS.1.1.3.6 Insufficient recovery options for patch and change management" dataDxfId="81"/>
    <tableColumn id="63" xr3:uid="{984EADF3-7C9A-4A74-94F3-6C6057F15025}" name="OPS.1.1.3.8 Manipulation of data and tools during patch and change management" dataDxfId="80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Risk_Evaluation" displayName="Risk_Evaluation" ref="A5:AK64" totalsRowShown="0" headerRowDxfId="79" dataDxfId="77" headerRowBorderDxfId="78">
  <autoFilter ref="A5:AK64" xr:uid="{00000000-0009-0000-0100-000005000000}"/>
  <tableColumns count="37">
    <tableColumn id="1" xr3:uid="{00000000-0010-0000-0400-000001000000}" name="Threat Catalogue" dataDxfId="76">
      <calculatedColumnFormula>Attacker_Threat_Zone[[#This Row],[Threat Name]]</calculatedColumnFormula>
    </tableColumn>
    <tableColumn id="2" xr3:uid="{00000000-0010-0000-0400-000002000000}" name="Relevance" dataDxfId="75">
      <calculatedColumnFormula>IF(ISBLANK(Attacker_Threat_Zone[[#This Row],[Relevance]]),"No",Attacker_Threat_Zone[[#This Row],[Relevance]])</calculatedColumnFormula>
    </tableColumn>
    <tableColumn id="4" xr3:uid="{00000000-0010-0000-0400-000004000000}" name="Covered by / Reference to - G-6a" dataDxfId="74"/>
    <tableColumn id="5" xr3:uid="{00000000-0010-0000-0400-000005000000}" name="Reason for reference to other threat - G-6a" dataDxfId="73"/>
    <tableColumn id="6" xr3:uid="{EC8CCF00-94ED-4787-A8FC-626B35A2F160}" name="Prefulfilled SRs" dataDxfId="72">
      <calculatedColumnFormula>VLOOKUP(Risk_Evaluation[[#This Row],[Threat Catalogue]],_3_3_OVERVIEW_PRE!$A$7:$B$66,2,FALSE)</calculatedColumnFormula>
    </tableColumn>
    <tableColumn id="37" xr3:uid="{19B37D04-4628-49F9-B8E3-3DE4B3286F80}" name="Prefulfilled Measures" dataDxfId="71"/>
    <tableColumn id="33" xr3:uid="{37DE6D3E-451E-4D11-8043-00F0A7A2430B}" name="Justification for risk parameters" dataDxfId="70"/>
    <tableColumn id="7" xr3:uid="{00000000-0010-0000-0400-000007000000}" name="Exposure - G-6b" dataDxfId="69">
      <calculatedColumnFormula>IF(ISBLANK(Attacker_Threat_Zone[[#This Row],[Exposure]]),"",Attacker_Threat_Zone[[#This Row],[Exposure]])</calculatedColumnFormula>
    </tableColumn>
    <tableColumn id="3" xr3:uid="{9F802863-7B64-48F4-9A9A-8A5C561B7AB7}" name="Exposure - _x000a_G-6b_x000a_Override" dataDxfId="68"/>
    <tableColumn id="8" xr3:uid="{00000000-0010-0000-0400-000008000000}" name="Vulnerability - _x000a_G-6b" dataDxfId="67">
      <calculatedColumnFormula>IF(ISBLANK(Attacker_Threat_Zone[[#This Row],[Vulnerability]]),"",Attacker_Threat_Zone[[#This Row],[Vulnerability]])</calculatedColumnFormula>
    </tableColumn>
    <tableColumn id="32" xr3:uid="{9F1D41A7-7EE3-416B-9A79-259208B98814}" name="Vulnerability - _x000a_G-6b_x000a_Override" dataDxfId="66"/>
    <tableColumn id="36" xr3:uid="{1A51E420-89E9-4B88-9A03-8D3DBAD66F8E}" name="Exp min" dataDxfId="65">
      <calculatedColumnFormula>IF(Risk_Evaluation[[#This Row],[Exposure - G-6b]]&lt;&gt;"",MIN(Risk_Evaluation[[#This Row],[Exposure - G-6b]:[Exposure - 
G-6b
Override]]),"")</calculatedColumnFormula>
    </tableColumn>
    <tableColumn id="35" xr3:uid="{4239FF5E-7772-458A-88A0-2536502619B0}" name="Vul min" dataDxfId="64">
      <calculatedColumnFormula>IF(Risk_Evaluation[[#This Row],[Vulnerability - 
G-6b]]&lt;&gt;"",MIN(Risk_Evaluation[[#This Row],[Vulnerability - 
G-6b]:[Vulnerability - 
G-6b
Override]]),"")</calculatedColumnFormula>
    </tableColumn>
    <tableColumn id="9" xr3:uid="{00000000-0010-0000-0400-000009000000}" name="Likelihood - 6b" dataDxfId="63">
      <calculatedColumnFormula>IF(COUNT(Risk_Evaluation[[#This Row],[Exp min]:[Vul min]])=2,Risk_Evaluation[[#This Row],[Exp min]]+Risk_Evaluation[[#This Row],[Vul min]]-1,"")</calculatedColumnFormula>
    </tableColumn>
    <tableColumn id="10" xr3:uid="{00000000-0010-0000-0400-00000A000000}" name="Impact - G-6b" dataDxfId="62">
      <calculatedColumnFormula>Attacker_Threat_Zone[[#This Row],[Impact
Max]]</calculatedColumnFormula>
    </tableColumn>
    <tableColumn id="34" xr3:uid="{2D80EEDA-12D9-4D6B-B103-4F259A430A53}" name="Impact - _x000a_G-6b_x000a_Override" dataDxfId="61"/>
    <tableColumn id="11" xr3:uid="{00000000-0010-0000-0400-00000B000000}" name="Actual Risk - _x000a_G-6b" dataDxfId="60">
      <calculatedColumnFormula array="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calculatedColumnFormula>
    </tableColumn>
    <tableColumn id="12" xr3:uid="{00000000-0010-0000-0400-00000C000000}" name="Risk Delta - _x000a_G-6b" dataDxfId="59">
      <calculatedColumnFormula>IF(OR('SL-T'!$B$18="",Risk_Evaluation[[#This Row],[Actual Risk - 
G-6b]]=""),0,VLOOKUP(Risk_Evaluation[[#This Row],[Actual Risk - 
G-6b]],_DATA!$H$3:$I$7,2,FALSE)-VLOOKUP('SL-T'!$B$18,_DATA!$H$3:$I$7,2,FALSE))</calculatedColumnFormula>
    </tableColumn>
    <tableColumn id="13" xr3:uid="{00000000-0010-0000-0400-00000D000000}" name="Measure (SR) from _x000a_62443-3-3" dataDxfId="58">
      <calculatedColumnFormula>VLOOKUP(Risk_Evaluation[[#This Row],[Threat Catalogue]],_3_3_OVERVIEW_MITIGATING!$A$7:$B$66,2,FALSE)</calculatedColumnFormula>
    </tableColumn>
    <tableColumn id="30" xr3:uid="{00000000-0010-0000-0400-00001E000000}" name="Explanations for SRs" dataDxfId="57"/>
    <tableColumn id="14" xr3:uid="{00000000-0010-0000-0400-00000E000000}" name="Exposure - G-6d" dataDxfId="56"/>
    <tableColumn id="15" xr3:uid="{00000000-0010-0000-0400-00000F000000}" name="Vulnerability - _x000a_G-6d" dataDxfId="55"/>
    <tableColumn id="16" xr3:uid="{00000000-0010-0000-0400-000010000000}" name="Likelihood - _x000a_G-6d" dataDxfId="54"/>
    <tableColumn id="17" xr3:uid="{00000000-0010-0000-0400-000011000000}" name="Impact - G-6d" dataDxfId="53"/>
    <tableColumn id="18" xr3:uid="{00000000-0010-0000-0400-000012000000}" name="Actual Risk - _x000a_G-6d" dataDxfId="52">
      <calculatedColumnFormula array="1">IF(OR(Risk_Evaluation[[#This Row],[Likelihood - 
G-6d]]="",Risk_Evaluation[[#This Row],[Impact - G-6d]]=""),"",INDEX(Risk!$C$4:$F$8,Risk_Evaluation[[#This Row],[Likelihood - 
G-6d]],VLOOKUP(Risk_Evaluation[[#This Row],[Impact - G-6d]],Impact_Mapping[],2,FALSE)))</calculatedColumnFormula>
    </tableColumn>
    <tableColumn id="19" xr3:uid="{00000000-0010-0000-0400-000013000000}" name="Risk Delta - _x000a_G-6d" dataDxfId="51">
      <calculatedColumnFormula>IF(OR('SL-T'!$B$18="",Risk_Evaluation[[#This Row],[Actual Risk - 
G-6d]]=""),0,VLOOKUP(Risk_Evaluation[[#This Row],[Actual Risk - 
G-6d]],_DATA!$H$3:$I$7,2,FALSE)-VLOOKUP('SL-T'!$B$18,_DATA!$H$3:$I$7,2,FALSE))</calculatedColumnFormula>
    </tableColumn>
    <tableColumn id="20" xr3:uid="{00000000-0010-0000-0400-000014000000}" name="Measures from_x000a_ 62443-2-1" dataDxfId="50">
      <calculatedColumnFormula>VLOOKUP(Risk_Evaluation[[#This Row],[Threat Catalogue]],_2_1_OVERVIEW!$A$7:$B$66,2,FALSE)</calculatedColumnFormula>
    </tableColumn>
    <tableColumn id="31" xr3:uid="{00000000-0010-0000-0400-00001F000000}" name="Compensating measures and explanations" dataDxfId="49"/>
    <tableColumn id="21" xr3:uid="{00000000-0010-0000-0400-000015000000}" name="Measure IDs" dataDxfId="48"/>
    <tableColumn id="22" xr3:uid="{00000000-0010-0000-0400-000016000000}" name="Exposure - _x000a_G-6f" dataDxfId="47"/>
    <tableColumn id="23" xr3:uid="{00000000-0010-0000-0400-000017000000}" name="Vulnerability - _x000a_G-6f" dataDxfId="46"/>
    <tableColumn id="24" xr3:uid="{00000000-0010-0000-0400-000018000000}" name="Likelihood - _x000a_G-6f" dataDxfId="45"/>
    <tableColumn id="25" xr3:uid="{00000000-0010-0000-0400-000019000000}" name="Impact - G-6f" dataDxfId="44"/>
    <tableColumn id="26" xr3:uid="{00000000-0010-0000-0400-00001A000000}" name="Actual Risk - _x000a_G-6f" dataDxfId="43">
      <calculatedColumnFormula array="1">IF(OR(Risk_Evaluation[[#This Row],[Likelihood - 
G-6f]]="",Risk_Evaluation[[#This Row],[Impact - G-6f]]=""),"",INDEX(Risk!$C$4:$F$8,Risk_Evaluation[[#This Row],[Likelihood - 
G-6f]],VLOOKUP(Risk_Evaluation[[#This Row],[Impact - G-6f]],Impact_Mapping[],2,FALSE)))</calculatedColumnFormula>
    </tableColumn>
    <tableColumn id="27" xr3:uid="{00000000-0010-0000-0400-00001B000000}" name="Final Risk Delta G-6f" dataDxfId="42">
      <calculatedColumnFormula>IF(OR('SL-T'!$B$18="",Risk_Evaluation[[#This Row],[Actual Risk - 
G-6f]]=""),0,VLOOKUP(Risk_Evaluation[[#This Row],[Actual Risk - 
G-6f]],_DATA!$H$3:$I$7,2,FALSE)-VLOOKUP('SL-T'!$B$18,_DATA!$H$3:$I$7,2,FALSE))</calculatedColumnFormula>
    </tableColumn>
    <tableColumn id="28" xr3:uid="{00000000-0010-0000-0400-00001C000000}" name="Risk acceptance _x000a_Explanation_x000a_G-6e" dataDxfId="41"/>
    <tableColumn id="29" xr3:uid="{00000000-0010-0000-0400-00001D000000}" name="Explanation (e.g. for Exposure, Vulnerability, Impact)" dataDxfId="40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7E71ADC-D65F-4E27-906D-18A11B623303}" name="SL_Mapping" displayName="SL_Mapping" ref="I2:J7" totalsRowShown="0">
  <autoFilter ref="I2:J7" xr:uid="{D7E71ADC-D65F-4E27-906D-18A11B623303}"/>
  <tableColumns count="2">
    <tableColumn id="1" xr3:uid="{939DA37D-78A4-429B-BB97-D6525B8DF825}" name="Risk"/>
    <tableColumn id="2" xr3:uid="{E25648E2-046E-43D8-8FBB-F448AB2D5794}" name="SL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elle68" displayName="Tabelle68" ref="A3:D45" totalsRowShown="0" headerRowDxfId="39" dataDxfId="38">
  <autoFilter ref="A3:D45" xr:uid="{00000000-0009-0000-0100-000008000000}"/>
  <tableColumns count="4">
    <tableColumn id="1" xr3:uid="{00000000-0010-0000-0700-000001000000}" name="Template Version" dataDxfId="37"/>
    <tableColumn id="4" xr3:uid="{00000000-0010-0000-0700-000004000000}" name="Date" dataDxfId="36"/>
    <tableColumn id="2" xr3:uid="{00000000-0010-0000-0700-000002000000}" name="Change Description" dataDxfId="35"/>
    <tableColumn id="3" xr3:uid="{00000000-0010-0000-0700-000003000000}" name="Author" dataDxfId="34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elle3" displayName="Tabelle3" ref="A60:A71" totalsRowShown="0" headerRowDxfId="33" dataDxfId="31" headerRowBorderDxfId="32" tableBorderDxfId="30" totalsRowBorderDxfId="29" headerRowCellStyle="Standard 2" dataCellStyle="Standard 2">
  <autoFilter ref="A60:A71" xr:uid="{00000000-0009-0000-0100-00000A000000}"/>
  <tableColumns count="1">
    <tableColumn id="1" xr3:uid="{00000000-0010-0000-0900-000001000000}" name="Methods for Validation and Verification" dataDxfId="28" dataCellStyle="Standard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table" Target="../tables/table9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2" tint="-0.499984740745262"/>
    <pageSetUpPr fitToPage="1"/>
  </sheetPr>
  <dimension ref="A1:M32"/>
  <sheetViews>
    <sheetView tabSelected="1" workbookViewId="0">
      <selection activeCell="A4" sqref="A4"/>
    </sheetView>
  </sheetViews>
  <sheetFormatPr baseColWidth="10" defaultColWidth="11.5546875" defaultRowHeight="14.4"/>
  <cols>
    <col min="1" max="1" width="10.6640625" customWidth="1"/>
  </cols>
  <sheetData>
    <row r="1" spans="1:13" ht="43.2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32.4" customHeight="1">
      <c r="A2" s="25" t="s">
        <v>3</v>
      </c>
      <c r="C2" s="233" t="s">
        <v>2</v>
      </c>
      <c r="D2" s="233"/>
      <c r="E2" s="233"/>
      <c r="F2" s="233"/>
      <c r="G2" s="233"/>
      <c r="H2" s="233"/>
      <c r="I2" s="233"/>
      <c r="J2" s="233"/>
    </row>
    <row r="3" spans="1:13" ht="32.4" customHeight="1">
      <c r="A3" s="25" t="s">
        <v>1</v>
      </c>
      <c r="C3" s="233"/>
      <c r="D3" s="233"/>
      <c r="E3" s="233"/>
      <c r="F3" s="233"/>
      <c r="G3" s="233"/>
      <c r="H3" s="233"/>
      <c r="I3" s="233"/>
      <c r="J3" s="233"/>
    </row>
    <row r="4" spans="1:13" ht="32.4" customHeight="1">
      <c r="A4" s="25" t="s">
        <v>4</v>
      </c>
      <c r="C4" s="233"/>
      <c r="D4" s="233"/>
      <c r="E4" s="233"/>
      <c r="F4" s="233"/>
      <c r="G4" s="233"/>
      <c r="H4" s="233"/>
      <c r="I4" s="233"/>
      <c r="J4" s="233"/>
    </row>
    <row r="5" spans="1:13" ht="32.4" customHeight="1">
      <c r="A5" s="25" t="s">
        <v>5</v>
      </c>
      <c r="C5" s="233"/>
      <c r="D5" s="233"/>
      <c r="E5" s="233"/>
      <c r="F5" s="233"/>
      <c r="G5" s="233"/>
      <c r="H5" s="233"/>
      <c r="I5" s="233"/>
      <c r="J5" s="233"/>
    </row>
    <row r="6" spans="1:13" ht="106.95" customHeight="1">
      <c r="A6" s="25"/>
      <c r="C6" s="233"/>
      <c r="D6" s="233"/>
      <c r="E6" s="233"/>
      <c r="F6" s="233"/>
      <c r="G6" s="233"/>
      <c r="H6" s="233"/>
      <c r="I6" s="233"/>
      <c r="J6" s="233"/>
    </row>
    <row r="7" spans="1:13" s="7" customFormat="1" ht="46.2">
      <c r="A7" s="104" t="s">
        <v>6</v>
      </c>
      <c r="B7" s="26"/>
      <c r="C7" s="26"/>
      <c r="D7" s="26"/>
      <c r="E7" s="26"/>
      <c r="F7" s="26"/>
      <c r="G7" s="26"/>
      <c r="H7" s="26"/>
      <c r="I7" s="26"/>
      <c r="J7" s="26"/>
    </row>
    <row r="8" spans="1:13" ht="25.8">
      <c r="A8" s="103" t="s">
        <v>7</v>
      </c>
      <c r="B8" s="27"/>
      <c r="C8" s="27"/>
      <c r="D8" s="27"/>
      <c r="E8" s="27"/>
      <c r="F8" s="27"/>
      <c r="G8" s="27"/>
      <c r="H8" s="27"/>
      <c r="I8" s="27"/>
      <c r="J8" s="27"/>
    </row>
    <row r="9" spans="1:13" ht="15.6" customHeight="1">
      <c r="A9" s="6"/>
      <c r="B9" s="7"/>
      <c r="C9" s="7"/>
      <c r="D9" s="7"/>
      <c r="E9" s="7"/>
      <c r="F9" s="7"/>
      <c r="G9" s="7"/>
      <c r="H9" s="7"/>
    </row>
    <row r="10" spans="1:13" ht="15.6" customHeight="1">
      <c r="A10" s="232"/>
      <c r="B10" s="231"/>
      <c r="C10" s="231"/>
      <c r="D10" s="231"/>
      <c r="E10" s="231"/>
      <c r="F10" s="231"/>
      <c r="G10" s="231"/>
      <c r="H10" s="231"/>
    </row>
    <row r="12" spans="1:13" ht="15.6" customHeight="1">
      <c r="A12" s="5" t="s">
        <v>8</v>
      </c>
    </row>
    <row r="14" spans="1:13">
      <c r="A14" s="8" t="s">
        <v>9</v>
      </c>
      <c r="B14" s="230" t="s">
        <v>10</v>
      </c>
      <c r="C14" s="231"/>
      <c r="D14" s="231"/>
      <c r="E14" s="231"/>
      <c r="F14" s="231"/>
    </row>
    <row r="15" spans="1:13">
      <c r="A15" s="8" t="s">
        <v>9</v>
      </c>
      <c r="B15" s="230" t="s">
        <v>11</v>
      </c>
      <c r="C15" s="231"/>
      <c r="D15" s="231"/>
      <c r="E15" s="231"/>
      <c r="F15" s="231"/>
    </row>
    <row r="16" spans="1:13">
      <c r="A16" s="8" t="s">
        <v>9</v>
      </c>
      <c r="B16" s="230" t="s">
        <v>12</v>
      </c>
      <c r="C16" s="231"/>
      <c r="D16" s="231"/>
      <c r="E16" s="231"/>
      <c r="F16" s="231"/>
    </row>
    <row r="17" spans="1:6">
      <c r="A17" s="8" t="s">
        <v>9</v>
      </c>
      <c r="B17" s="230" t="s">
        <v>13</v>
      </c>
      <c r="C17" s="231"/>
      <c r="D17" s="231"/>
      <c r="E17" s="231"/>
      <c r="F17" s="231"/>
    </row>
    <row r="20" spans="1:6">
      <c r="A20" t="s">
        <v>14</v>
      </c>
    </row>
    <row r="25" spans="1:6">
      <c r="A25" t="s">
        <v>15</v>
      </c>
      <c r="B25" s="19"/>
      <c r="C25" s="19" t="s">
        <v>580</v>
      </c>
    </row>
    <row r="27" spans="1:6">
      <c r="A27" t="s">
        <v>17</v>
      </c>
      <c r="C27" t="s">
        <v>18</v>
      </c>
    </row>
    <row r="28" spans="1:6">
      <c r="C28" t="s">
        <v>19</v>
      </c>
    </row>
    <row r="29" spans="1:6">
      <c r="C29" t="s">
        <v>20</v>
      </c>
    </row>
    <row r="30" spans="1:6">
      <c r="C30" t="s">
        <v>21</v>
      </c>
    </row>
    <row r="32" spans="1:6">
      <c r="A32" t="s">
        <v>22</v>
      </c>
      <c r="C32" t="s">
        <v>23</v>
      </c>
    </row>
  </sheetData>
  <mergeCells count="7">
    <mergeCell ref="A1:M1"/>
    <mergeCell ref="B17:F17"/>
    <mergeCell ref="A10:H10"/>
    <mergeCell ref="B14:F14"/>
    <mergeCell ref="B15:F15"/>
    <mergeCell ref="B16:F16"/>
    <mergeCell ref="C2:J6"/>
  </mergeCells>
  <pageMargins left="0.70866141732283472" right="0.70866141732283472" top="0.78740157480314965" bottom="0.78740157480314965" header="0.31496062992125978" footer="0.31496062992125978"/>
  <pageSetup paperSize="9" scale="84" orientation="portrait" horizont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>
    <tabColor rgb="FF92D050"/>
  </sheetPr>
  <dimension ref="A1:U12"/>
  <sheetViews>
    <sheetView zoomScaleNormal="100" workbookViewId="0">
      <selection sqref="A1:G1"/>
    </sheetView>
  </sheetViews>
  <sheetFormatPr baseColWidth="10" defaultColWidth="11.5546875" defaultRowHeight="14.4"/>
  <cols>
    <col min="2" max="2" width="31.33203125" customWidth="1"/>
    <col min="3" max="3" width="40.5546875" customWidth="1"/>
    <col min="4" max="4" width="38.109375" customWidth="1"/>
  </cols>
  <sheetData>
    <row r="1" spans="1:21" ht="34.950000000000003" customHeight="1" thickBot="1">
      <c r="A1" s="229" t="s">
        <v>0</v>
      </c>
      <c r="B1" s="229"/>
      <c r="C1" s="229"/>
      <c r="D1" s="229"/>
      <c r="E1" s="229"/>
      <c r="F1" s="229"/>
      <c r="G1" s="229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ht="15" thickBot="1">
      <c r="A2" s="32" t="s">
        <v>406</v>
      </c>
      <c r="B2" s="33" t="s">
        <v>407</v>
      </c>
      <c r="C2" s="33" t="s">
        <v>408</v>
      </c>
      <c r="D2" s="32" t="s">
        <v>409</v>
      </c>
      <c r="E2" s="71"/>
    </row>
    <row r="3" spans="1:21" ht="28.2" thickBot="1">
      <c r="A3" s="32" t="s">
        <v>82</v>
      </c>
      <c r="B3" s="30" t="s">
        <v>410</v>
      </c>
      <c r="C3" s="30" t="s">
        <v>411</v>
      </c>
      <c r="D3" s="29" t="s">
        <v>412</v>
      </c>
      <c r="E3" s="71"/>
    </row>
    <row r="4" spans="1:21" ht="42" thickBot="1">
      <c r="A4" s="32" t="s">
        <v>86</v>
      </c>
      <c r="B4" s="30" t="s">
        <v>413</v>
      </c>
      <c r="C4" s="30" t="s">
        <v>414</v>
      </c>
      <c r="D4" s="29" t="s">
        <v>415</v>
      </c>
      <c r="E4" s="71"/>
    </row>
    <row r="5" spans="1:21" ht="42" thickBot="1">
      <c r="A5" s="32" t="s">
        <v>81</v>
      </c>
      <c r="B5" s="30" t="s">
        <v>416</v>
      </c>
      <c r="C5" s="30" t="s">
        <v>417</v>
      </c>
      <c r="D5" s="29" t="s">
        <v>418</v>
      </c>
      <c r="E5" s="71"/>
    </row>
    <row r="6" spans="1:21" ht="55.8" thickBot="1">
      <c r="A6" s="32" t="s">
        <v>84</v>
      </c>
      <c r="B6" s="30" t="s">
        <v>419</v>
      </c>
      <c r="C6" s="30" t="s">
        <v>420</v>
      </c>
      <c r="D6" s="29" t="s">
        <v>421</v>
      </c>
      <c r="E6" s="71"/>
    </row>
    <row r="7" spans="1:21">
      <c r="A7" t="s">
        <v>422</v>
      </c>
      <c r="E7" s="71"/>
    </row>
    <row r="8" spans="1:21" ht="15" thickBot="1">
      <c r="E8" s="71"/>
    </row>
    <row r="9" spans="1:21" ht="28.2" thickBot="1">
      <c r="A9" s="32" t="s">
        <v>423</v>
      </c>
      <c r="B9" s="32"/>
    </row>
    <row r="10" spans="1:21" ht="15" thickBot="1">
      <c r="A10" s="32" t="s">
        <v>81</v>
      </c>
      <c r="B10" s="30" t="s">
        <v>424</v>
      </c>
    </row>
    <row r="11" spans="1:21" ht="15" thickBot="1">
      <c r="A11" s="32" t="s">
        <v>93</v>
      </c>
      <c r="B11" s="30" t="s">
        <v>425</v>
      </c>
    </row>
    <row r="12" spans="1:21" ht="15" thickBot="1">
      <c r="A12" s="32" t="s">
        <v>82</v>
      </c>
      <c r="B12" s="30" t="s">
        <v>426</v>
      </c>
    </row>
  </sheetData>
  <mergeCells count="1">
    <mergeCell ref="A1:G1"/>
  </mergeCells>
  <pageMargins left="0.7" right="0.7" top="0.78740157499999996" bottom="0.78740157499999996" header="0.3" footer="0.3"/>
  <pageSetup paperSize="9" orientation="portrait" horizontalDpi="4294967294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92D050"/>
  </sheetPr>
  <dimension ref="A1:M8"/>
  <sheetViews>
    <sheetView zoomScaleNormal="100" workbookViewId="0">
      <selection activeCell="I5" sqref="I5"/>
    </sheetView>
  </sheetViews>
  <sheetFormatPr baseColWidth="10" defaultColWidth="11.5546875" defaultRowHeight="14.4"/>
  <cols>
    <col min="9" max="9" width="19.33203125" customWidth="1"/>
    <col min="12" max="12" width="22.6640625" customWidth="1"/>
  </cols>
  <sheetData>
    <row r="1" spans="1:13" ht="41.4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15.6" customHeight="1">
      <c r="A2" s="27"/>
      <c r="B2" s="27"/>
      <c r="C2" s="284" t="s">
        <v>452</v>
      </c>
      <c r="D2" s="231"/>
      <c r="E2" s="231"/>
      <c r="F2" s="231"/>
      <c r="I2" t="s">
        <v>38</v>
      </c>
      <c r="J2" t="s">
        <v>160</v>
      </c>
    </row>
    <row r="3" spans="1:13" ht="15.6" customHeight="1">
      <c r="A3" s="27"/>
      <c r="B3" s="27"/>
      <c r="C3" s="74" t="s">
        <v>84</v>
      </c>
      <c r="D3" s="74" t="s">
        <v>81</v>
      </c>
      <c r="E3" s="74" t="s">
        <v>86</v>
      </c>
      <c r="F3" s="74" t="s">
        <v>82</v>
      </c>
      <c r="I3" t="s">
        <v>163</v>
      </c>
      <c r="J3">
        <v>0</v>
      </c>
    </row>
    <row r="4" spans="1:13">
      <c r="A4" s="285" t="s">
        <v>453</v>
      </c>
      <c r="B4" s="34" t="s">
        <v>163</v>
      </c>
      <c r="C4" s="31" t="s">
        <v>163</v>
      </c>
      <c r="D4" s="31" t="s">
        <v>163</v>
      </c>
      <c r="E4" s="31" t="s">
        <v>163</v>
      </c>
      <c r="F4" s="31" t="s">
        <v>454</v>
      </c>
      <c r="I4" t="s">
        <v>454</v>
      </c>
      <c r="J4">
        <v>1</v>
      </c>
    </row>
    <row r="5" spans="1:13">
      <c r="A5" s="231"/>
      <c r="B5" s="34" t="s">
        <v>454</v>
      </c>
      <c r="C5" s="31" t="s">
        <v>163</v>
      </c>
      <c r="D5" s="31" t="s">
        <v>163</v>
      </c>
      <c r="E5" s="31" t="s">
        <v>454</v>
      </c>
      <c r="F5" s="3" t="s">
        <v>455</v>
      </c>
      <c r="I5" t="s">
        <v>455</v>
      </c>
      <c r="J5">
        <v>2</v>
      </c>
    </row>
    <row r="6" spans="1:13">
      <c r="A6" s="231"/>
      <c r="B6" s="34" t="s">
        <v>455</v>
      </c>
      <c r="C6" s="31" t="s">
        <v>163</v>
      </c>
      <c r="D6" s="31" t="s">
        <v>454</v>
      </c>
      <c r="E6" s="3" t="s">
        <v>455</v>
      </c>
      <c r="F6" s="4" t="s">
        <v>456</v>
      </c>
      <c r="I6" t="s">
        <v>456</v>
      </c>
      <c r="J6">
        <v>3</v>
      </c>
    </row>
    <row r="7" spans="1:13">
      <c r="A7" s="231"/>
      <c r="B7" s="34" t="s">
        <v>456</v>
      </c>
      <c r="C7" s="31" t="s">
        <v>454</v>
      </c>
      <c r="D7" s="3" t="s">
        <v>455</v>
      </c>
      <c r="E7" s="4" t="s">
        <v>456</v>
      </c>
      <c r="F7" s="4" t="s">
        <v>456</v>
      </c>
      <c r="I7" t="s">
        <v>457</v>
      </c>
      <c r="J7">
        <v>4</v>
      </c>
    </row>
    <row r="8" spans="1:13">
      <c r="A8" s="231"/>
      <c r="B8" s="34" t="s">
        <v>457</v>
      </c>
      <c r="C8" s="3" t="s">
        <v>455</v>
      </c>
      <c r="D8" s="4" t="s">
        <v>456</v>
      </c>
      <c r="E8" s="4" t="s">
        <v>456</v>
      </c>
      <c r="F8" s="4" t="s">
        <v>457</v>
      </c>
    </row>
  </sheetData>
  <mergeCells count="3">
    <mergeCell ref="C2:F2"/>
    <mergeCell ref="A4:A8"/>
    <mergeCell ref="A1:M1"/>
  </mergeCells>
  <pageMargins left="0.7" right="0.7" top="0.78740157499999996" bottom="0.78740157499999996" header="0.3" footer="0.3"/>
  <pageSetup paperSize="9" orientation="portrait" horizontalDpi="4294967294" verticalDpi="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 tint="-0.499984740745262"/>
  </sheetPr>
  <dimension ref="A1:U45"/>
  <sheetViews>
    <sheetView topLeftCell="A31" workbookViewId="0">
      <selection activeCell="I36" sqref="I36"/>
    </sheetView>
  </sheetViews>
  <sheetFormatPr baseColWidth="10" defaultColWidth="11.44140625" defaultRowHeight="14.4"/>
  <cols>
    <col min="1" max="1" width="19.109375" style="9" bestFit="1" customWidth="1"/>
    <col min="2" max="2" width="10.109375" style="9" bestFit="1" customWidth="1"/>
    <col min="3" max="3" width="52.5546875" style="9" bestFit="1" customWidth="1"/>
    <col min="4" max="4" width="27" style="9" customWidth="1"/>
  </cols>
  <sheetData>
    <row r="1" spans="1:21" ht="33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ht="21" customHeight="1">
      <c r="A2" s="286" t="s">
        <v>459</v>
      </c>
      <c r="B2" s="286"/>
      <c r="C2" s="286"/>
      <c r="D2" s="286"/>
    </row>
    <row r="3" spans="1:21">
      <c r="A3" s="9" t="s">
        <v>460</v>
      </c>
      <c r="B3" s="9" t="s">
        <v>26</v>
      </c>
      <c r="C3" s="9" t="s">
        <v>27</v>
      </c>
      <c r="D3" s="9" t="s">
        <v>28</v>
      </c>
    </row>
    <row r="4" spans="1:21" ht="43.2">
      <c r="A4" s="9" t="s">
        <v>461</v>
      </c>
      <c r="B4" s="149"/>
      <c r="C4" s="9" t="s">
        <v>462</v>
      </c>
      <c r="D4" s="10" t="s">
        <v>463</v>
      </c>
    </row>
    <row r="5" spans="1:21" ht="100.8">
      <c r="A5" s="9" t="s">
        <v>464</v>
      </c>
      <c r="B5" s="149">
        <v>44491</v>
      </c>
      <c r="C5" s="150" t="s">
        <v>465</v>
      </c>
      <c r="D5" s="10" t="s">
        <v>466</v>
      </c>
    </row>
    <row r="6" spans="1:21">
      <c r="A6" s="9" t="s">
        <v>467</v>
      </c>
      <c r="B6" s="149">
        <v>44494</v>
      </c>
      <c r="C6" s="151" t="s">
        <v>468</v>
      </c>
      <c r="D6" s="9" t="s">
        <v>469</v>
      </c>
    </row>
    <row r="7" spans="1:21" ht="28.8">
      <c r="A7" s="9" t="s">
        <v>470</v>
      </c>
      <c r="B7" s="149">
        <v>44496</v>
      </c>
      <c r="C7" s="150" t="s">
        <v>471</v>
      </c>
      <c r="D7" s="9" t="s">
        <v>469</v>
      </c>
    </row>
    <row r="8" spans="1:21" ht="28.8">
      <c r="A8" s="9" t="s">
        <v>472</v>
      </c>
      <c r="B8" s="149">
        <v>44497</v>
      </c>
      <c r="C8" s="150" t="s">
        <v>473</v>
      </c>
      <c r="D8" s="9" t="s">
        <v>469</v>
      </c>
    </row>
    <row r="9" spans="1:21">
      <c r="A9" s="9" t="s">
        <v>474</v>
      </c>
      <c r="B9" s="149">
        <v>44498</v>
      </c>
      <c r="C9" s="150" t="s">
        <v>475</v>
      </c>
      <c r="D9" s="9" t="s">
        <v>469</v>
      </c>
    </row>
    <row r="10" spans="1:21">
      <c r="A10" s="9" t="s">
        <v>476</v>
      </c>
      <c r="B10" s="149">
        <v>44502</v>
      </c>
      <c r="C10" s="151" t="s">
        <v>477</v>
      </c>
      <c r="D10" s="9" t="s">
        <v>469</v>
      </c>
    </row>
    <row r="11" spans="1:21" ht="28.8">
      <c r="A11" s="9" t="s">
        <v>478</v>
      </c>
      <c r="B11" s="149">
        <v>44509</v>
      </c>
      <c r="C11" s="150" t="s">
        <v>479</v>
      </c>
      <c r="D11" s="9" t="s">
        <v>469</v>
      </c>
    </row>
    <row r="12" spans="1:21" ht="28.8">
      <c r="A12" s="9" t="s">
        <v>480</v>
      </c>
      <c r="B12" s="149">
        <v>44515</v>
      </c>
      <c r="C12" s="150" t="s">
        <v>481</v>
      </c>
      <c r="D12" s="9" t="s">
        <v>469</v>
      </c>
    </row>
    <row r="13" spans="1:21">
      <c r="A13" s="9" t="s">
        <v>482</v>
      </c>
      <c r="B13" s="149">
        <v>44607</v>
      </c>
      <c r="C13" s="151" t="s">
        <v>483</v>
      </c>
      <c r="D13" s="9" t="s">
        <v>469</v>
      </c>
    </row>
    <row r="14" spans="1:21" ht="43.2">
      <c r="A14" s="9" t="s">
        <v>484</v>
      </c>
      <c r="B14" s="149">
        <v>44607</v>
      </c>
      <c r="C14" s="150" t="s">
        <v>485</v>
      </c>
      <c r="D14" s="9" t="s">
        <v>469</v>
      </c>
    </row>
    <row r="15" spans="1:21">
      <c r="A15" s="9" t="s">
        <v>486</v>
      </c>
      <c r="B15" s="149">
        <v>44638</v>
      </c>
      <c r="C15" s="151" t="s">
        <v>487</v>
      </c>
      <c r="D15" s="9" t="s">
        <v>469</v>
      </c>
    </row>
    <row r="16" spans="1:21">
      <c r="A16" s="9" t="s">
        <v>488</v>
      </c>
      <c r="B16" s="149">
        <v>44650</v>
      </c>
      <c r="C16" s="151" t="s">
        <v>489</v>
      </c>
      <c r="D16" s="9" t="s">
        <v>469</v>
      </c>
    </row>
    <row r="17" spans="1:4">
      <c r="A17" s="9" t="s">
        <v>490</v>
      </c>
      <c r="B17" s="149">
        <v>44658</v>
      </c>
      <c r="C17" s="150" t="s">
        <v>491</v>
      </c>
      <c r="D17" s="9" t="s">
        <v>469</v>
      </c>
    </row>
    <row r="18" spans="1:4">
      <c r="A18" s="9" t="s">
        <v>492</v>
      </c>
      <c r="B18" s="149">
        <v>44662</v>
      </c>
      <c r="C18" s="150" t="s">
        <v>493</v>
      </c>
      <c r="D18" s="9" t="s">
        <v>469</v>
      </c>
    </row>
    <row r="19" spans="1:4" ht="28.8">
      <c r="A19" s="9" t="s">
        <v>494</v>
      </c>
      <c r="B19" s="149">
        <v>44673</v>
      </c>
      <c r="C19" s="150" t="s">
        <v>495</v>
      </c>
      <c r="D19" s="9" t="s">
        <v>469</v>
      </c>
    </row>
    <row r="20" spans="1:4" ht="28.8">
      <c r="A20" s="9" t="s">
        <v>496</v>
      </c>
      <c r="B20" s="149">
        <v>44676</v>
      </c>
      <c r="C20" s="150" t="s">
        <v>497</v>
      </c>
      <c r="D20" s="9" t="s">
        <v>469</v>
      </c>
    </row>
    <row r="21" spans="1:4" ht="43.2">
      <c r="A21" s="9" t="s">
        <v>498</v>
      </c>
      <c r="B21" s="149">
        <v>44677</v>
      </c>
      <c r="C21" s="150" t="s">
        <v>499</v>
      </c>
      <c r="D21" s="9" t="s">
        <v>469</v>
      </c>
    </row>
    <row r="22" spans="1:4" ht="28.8">
      <c r="A22" s="9" t="s">
        <v>500</v>
      </c>
      <c r="B22" s="149">
        <v>44694</v>
      </c>
      <c r="C22" s="150" t="s">
        <v>501</v>
      </c>
      <c r="D22" s="10" t="s">
        <v>502</v>
      </c>
    </row>
    <row r="23" spans="1:4">
      <c r="A23" s="9" t="s">
        <v>503</v>
      </c>
      <c r="B23" s="149">
        <v>44698</v>
      </c>
      <c r="C23" s="151" t="s">
        <v>504</v>
      </c>
      <c r="D23" s="9" t="s">
        <v>469</v>
      </c>
    </row>
    <row r="24" spans="1:4" ht="28.8">
      <c r="A24" s="9" t="s">
        <v>505</v>
      </c>
      <c r="B24" s="149">
        <v>44704</v>
      </c>
      <c r="C24" s="150" t="s">
        <v>506</v>
      </c>
      <c r="D24" s="9" t="s">
        <v>469</v>
      </c>
    </row>
    <row r="25" spans="1:4">
      <c r="A25" s="9" t="s">
        <v>507</v>
      </c>
      <c r="B25" s="149">
        <v>44705</v>
      </c>
      <c r="C25" s="150" t="s">
        <v>508</v>
      </c>
      <c r="D25" s="9" t="s">
        <v>469</v>
      </c>
    </row>
    <row r="26" spans="1:4" ht="43.2">
      <c r="A26" s="9" t="s">
        <v>509</v>
      </c>
      <c r="B26" s="149">
        <v>44719</v>
      </c>
      <c r="C26" s="150" t="s">
        <v>510</v>
      </c>
      <c r="D26" s="10" t="s">
        <v>502</v>
      </c>
    </row>
    <row r="27" spans="1:4">
      <c r="A27" s="9" t="s">
        <v>511</v>
      </c>
      <c r="B27" s="149">
        <v>44720</v>
      </c>
      <c r="C27" s="151" t="s">
        <v>512</v>
      </c>
      <c r="D27" s="9" t="s">
        <v>469</v>
      </c>
    </row>
    <row r="28" spans="1:4" ht="28.8">
      <c r="A28" s="9" t="s">
        <v>513</v>
      </c>
      <c r="B28" s="149">
        <v>44733</v>
      </c>
      <c r="C28" s="150" t="s">
        <v>514</v>
      </c>
      <c r="D28" s="9" t="s">
        <v>469</v>
      </c>
    </row>
    <row r="29" spans="1:4" ht="28.8">
      <c r="A29" s="9" t="s">
        <v>515</v>
      </c>
      <c r="B29" s="149">
        <v>44739</v>
      </c>
      <c r="C29" s="150" t="s">
        <v>516</v>
      </c>
      <c r="D29" s="9" t="s">
        <v>469</v>
      </c>
    </row>
    <row r="30" spans="1:4">
      <c r="A30" s="9" t="s">
        <v>517</v>
      </c>
      <c r="B30" s="149">
        <v>44748</v>
      </c>
      <c r="C30" s="150" t="s">
        <v>518</v>
      </c>
      <c r="D30" s="9" t="s">
        <v>469</v>
      </c>
    </row>
    <row r="31" spans="1:4" ht="28.8">
      <c r="A31" s="9" t="s">
        <v>519</v>
      </c>
      <c r="B31" s="149">
        <v>44776</v>
      </c>
      <c r="C31" s="150" t="s">
        <v>520</v>
      </c>
      <c r="D31" s="9" t="s">
        <v>521</v>
      </c>
    </row>
    <row r="32" spans="1:4">
      <c r="A32" s="9" t="s">
        <v>522</v>
      </c>
      <c r="B32" s="149">
        <v>44781</v>
      </c>
      <c r="C32" s="151" t="s">
        <v>523</v>
      </c>
      <c r="D32" s="9" t="s">
        <v>469</v>
      </c>
    </row>
    <row r="33" spans="1:4" ht="43.2">
      <c r="A33" s="9" t="s">
        <v>524</v>
      </c>
      <c r="B33" s="149">
        <v>44804</v>
      </c>
      <c r="C33" s="150" t="s">
        <v>525</v>
      </c>
      <c r="D33" s="10" t="s">
        <v>526</v>
      </c>
    </row>
    <row r="34" spans="1:4">
      <c r="A34" s="9" t="s">
        <v>527</v>
      </c>
      <c r="B34" s="149">
        <v>44971</v>
      </c>
      <c r="C34" s="151" t="s">
        <v>528</v>
      </c>
      <c r="D34" s="9" t="s">
        <v>529</v>
      </c>
    </row>
    <row r="35" spans="1:4">
      <c r="A35" s="9" t="s">
        <v>530</v>
      </c>
      <c r="B35" s="149">
        <v>44986</v>
      </c>
      <c r="C35" s="150" t="s">
        <v>531</v>
      </c>
      <c r="D35" s="9" t="s">
        <v>469</v>
      </c>
    </row>
    <row r="36" spans="1:4">
      <c r="A36" s="9" t="s">
        <v>532</v>
      </c>
      <c r="B36" s="149">
        <v>45036</v>
      </c>
      <c r="C36" s="150" t="s">
        <v>533</v>
      </c>
      <c r="D36" s="9" t="s">
        <v>469</v>
      </c>
    </row>
    <row r="37" spans="1:4" ht="28.8">
      <c r="A37" s="9" t="s">
        <v>534</v>
      </c>
      <c r="B37" s="149">
        <v>45048</v>
      </c>
      <c r="C37" s="150" t="s">
        <v>535</v>
      </c>
      <c r="D37" s="9" t="s">
        <v>469</v>
      </c>
    </row>
    <row r="38" spans="1:4">
      <c r="A38" s="9" t="s">
        <v>536</v>
      </c>
      <c r="B38" s="149">
        <v>45084</v>
      </c>
      <c r="C38" s="151" t="s">
        <v>537</v>
      </c>
      <c r="D38" s="9" t="s">
        <v>469</v>
      </c>
    </row>
    <row r="39" spans="1:4" ht="43.2">
      <c r="A39" s="9" t="s">
        <v>538</v>
      </c>
      <c r="B39" s="149">
        <v>45341</v>
      </c>
      <c r="C39" s="150" t="s">
        <v>539</v>
      </c>
      <c r="D39" s="10" t="s">
        <v>540</v>
      </c>
    </row>
    <row r="40" spans="1:4" ht="43.2">
      <c r="A40" s="9" t="s">
        <v>541</v>
      </c>
      <c r="B40" s="149">
        <v>45531</v>
      </c>
      <c r="C40" s="150" t="s">
        <v>542</v>
      </c>
      <c r="D40" s="10" t="s">
        <v>543</v>
      </c>
    </row>
    <row r="41" spans="1:4">
      <c r="A41" s="9" t="s">
        <v>16</v>
      </c>
      <c r="B41" s="149">
        <v>45617</v>
      </c>
      <c r="C41" s="151" t="s">
        <v>544</v>
      </c>
      <c r="D41" s="9" t="s">
        <v>469</v>
      </c>
    </row>
    <row r="42" spans="1:4" ht="28.8">
      <c r="A42" s="9" t="s">
        <v>563</v>
      </c>
      <c r="B42" s="149">
        <v>45406</v>
      </c>
      <c r="C42" s="150" t="s">
        <v>564</v>
      </c>
      <c r="D42" s="9" t="s">
        <v>469</v>
      </c>
    </row>
    <row r="43" spans="1:4" ht="43.2">
      <c r="A43" s="9" t="s">
        <v>565</v>
      </c>
      <c r="B43" s="149">
        <v>45873</v>
      </c>
      <c r="C43" s="150" t="s">
        <v>569</v>
      </c>
      <c r="D43" s="9" t="s">
        <v>566</v>
      </c>
    </row>
    <row r="44" spans="1:4">
      <c r="A44" s="198" t="s">
        <v>578</v>
      </c>
      <c r="B44" s="149">
        <v>45897</v>
      </c>
      <c r="C44" s="151" t="s">
        <v>579</v>
      </c>
      <c r="D44" s="9" t="s">
        <v>469</v>
      </c>
    </row>
    <row r="45" spans="1:4">
      <c r="A45" s="198" t="s">
        <v>580</v>
      </c>
      <c r="B45" s="149">
        <v>45958</v>
      </c>
      <c r="C45" s="151" t="s">
        <v>606</v>
      </c>
      <c r="D45" s="9" t="s">
        <v>469</v>
      </c>
    </row>
  </sheetData>
  <mergeCells count="2">
    <mergeCell ref="A1:J1"/>
    <mergeCell ref="A2:D2"/>
  </mergeCells>
  <pageMargins left="0.7" right="0.7" top="0.78740157499999996" bottom="0.78740157499999996" header="0.3" footer="0.3"/>
  <pageSetup paperSize="9" orientation="portrait" horizontalDpi="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499984740745262"/>
  </sheetPr>
  <dimension ref="H3:BB102"/>
  <sheetViews>
    <sheetView workbookViewId="0">
      <selection activeCell="S31" sqref="S31"/>
    </sheetView>
  </sheetViews>
  <sheetFormatPr baseColWidth="10" defaultColWidth="11.44140625" defaultRowHeight="14.4"/>
  <sheetData>
    <row r="3" spans="8:54">
      <c r="H3" s="76">
        <v>0</v>
      </c>
      <c r="I3" s="76">
        <v>0</v>
      </c>
      <c r="J3" s="76">
        <v>0</v>
      </c>
      <c r="K3" s="76">
        <v>0</v>
      </c>
      <c r="L3" s="76">
        <v>0</v>
      </c>
      <c r="M3" s="76">
        <v>0</v>
      </c>
      <c r="N3" s="76">
        <v>0</v>
      </c>
      <c r="O3" s="76">
        <v>0</v>
      </c>
      <c r="P3" s="76">
        <v>0</v>
      </c>
      <c r="Q3" s="76">
        <v>0</v>
      </c>
      <c r="R3" s="76">
        <v>0</v>
      </c>
      <c r="S3" s="76">
        <v>0</v>
      </c>
      <c r="T3" s="76">
        <v>0</v>
      </c>
      <c r="U3" s="77">
        <v>1</v>
      </c>
      <c r="V3" s="77">
        <v>1</v>
      </c>
      <c r="W3" s="77">
        <v>1</v>
      </c>
      <c r="X3" s="77">
        <v>1</v>
      </c>
      <c r="Y3" s="77">
        <v>1</v>
      </c>
      <c r="Z3" s="77">
        <v>1</v>
      </c>
      <c r="AA3" s="77">
        <v>1</v>
      </c>
      <c r="AB3" s="77">
        <v>1</v>
      </c>
      <c r="AC3" s="77">
        <v>1</v>
      </c>
      <c r="AD3" s="78">
        <v>2</v>
      </c>
      <c r="AE3" s="76">
        <v>0</v>
      </c>
      <c r="AF3" s="76">
        <v>0</v>
      </c>
      <c r="AG3" s="76">
        <v>0</v>
      </c>
      <c r="AH3" s="76">
        <v>0</v>
      </c>
      <c r="AI3" s="79">
        <v>3</v>
      </c>
      <c r="AJ3" s="76">
        <v>0</v>
      </c>
      <c r="AK3" s="80">
        <v>4</v>
      </c>
      <c r="AL3" s="77">
        <v>1</v>
      </c>
      <c r="AM3" s="77">
        <v>1</v>
      </c>
      <c r="AN3" s="76">
        <v>0</v>
      </c>
      <c r="AO3" s="76">
        <v>0</v>
      </c>
      <c r="AP3" s="79">
        <v>3</v>
      </c>
      <c r="AQ3" s="76">
        <v>0</v>
      </c>
      <c r="AR3" s="77">
        <v>1</v>
      </c>
      <c r="AS3" s="77">
        <v>1</v>
      </c>
      <c r="AT3" s="79">
        <v>3</v>
      </c>
      <c r="AU3" s="76">
        <v>0</v>
      </c>
      <c r="AV3" s="76">
        <v>0</v>
      </c>
      <c r="AW3" s="76">
        <v>0</v>
      </c>
      <c r="AX3" s="76">
        <v>0</v>
      </c>
      <c r="AY3" s="77">
        <v>1</v>
      </c>
      <c r="AZ3" s="76">
        <v>0</v>
      </c>
      <c r="BA3" s="76">
        <v>0</v>
      </c>
      <c r="BB3" s="76">
        <v>0</v>
      </c>
    </row>
    <row r="4" spans="8:54">
      <c r="H4" s="76">
        <v>0</v>
      </c>
      <c r="I4" s="76">
        <v>0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0</v>
      </c>
      <c r="T4" s="76">
        <v>0</v>
      </c>
      <c r="U4" s="77">
        <v>1</v>
      </c>
      <c r="V4" s="77">
        <v>1</v>
      </c>
      <c r="W4" s="77">
        <v>1</v>
      </c>
      <c r="X4" s="77">
        <v>1</v>
      </c>
      <c r="Y4" s="77">
        <v>1</v>
      </c>
      <c r="Z4" s="77">
        <v>1</v>
      </c>
      <c r="AA4" s="77">
        <v>1</v>
      </c>
      <c r="AB4" s="77">
        <v>1</v>
      </c>
      <c r="AC4" s="77">
        <v>1</v>
      </c>
      <c r="AD4" s="78">
        <v>2</v>
      </c>
      <c r="AE4" s="76">
        <v>0</v>
      </c>
      <c r="AF4" s="76">
        <v>0</v>
      </c>
      <c r="AG4" s="76">
        <v>0</v>
      </c>
      <c r="AH4" s="76">
        <v>0</v>
      </c>
      <c r="AI4" s="79">
        <v>3</v>
      </c>
      <c r="AJ4" s="76">
        <v>0</v>
      </c>
      <c r="AK4" s="80">
        <v>4</v>
      </c>
      <c r="AL4" s="78">
        <v>2</v>
      </c>
      <c r="AM4" s="77">
        <v>1</v>
      </c>
      <c r="AN4" s="76">
        <v>0</v>
      </c>
      <c r="AO4" s="76">
        <v>0</v>
      </c>
      <c r="AP4" s="79">
        <v>3</v>
      </c>
      <c r="AQ4" s="76">
        <v>0</v>
      </c>
      <c r="AR4" s="77">
        <v>1</v>
      </c>
      <c r="AS4" s="77">
        <v>1</v>
      </c>
      <c r="AT4" s="79">
        <v>3</v>
      </c>
      <c r="AU4" s="76">
        <v>0</v>
      </c>
      <c r="AV4" s="76">
        <v>0</v>
      </c>
      <c r="AW4" s="76">
        <v>0</v>
      </c>
      <c r="AX4" s="76">
        <v>0</v>
      </c>
      <c r="AY4" s="77">
        <v>1</v>
      </c>
      <c r="AZ4" s="76">
        <v>0</v>
      </c>
      <c r="BA4" s="76">
        <v>0</v>
      </c>
      <c r="BB4" s="76">
        <v>0</v>
      </c>
    </row>
    <row r="5" spans="8:54">
      <c r="H5" s="76">
        <v>0</v>
      </c>
      <c r="I5" s="76">
        <v>0</v>
      </c>
      <c r="J5" s="76">
        <v>0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0</v>
      </c>
      <c r="T5" s="76">
        <v>0</v>
      </c>
      <c r="U5" s="77">
        <v>1</v>
      </c>
      <c r="V5" s="76">
        <v>0</v>
      </c>
      <c r="W5" s="77">
        <v>1</v>
      </c>
      <c r="X5" s="77">
        <v>1</v>
      </c>
      <c r="Y5" s="76">
        <v>0</v>
      </c>
      <c r="Z5" s="77">
        <v>1</v>
      </c>
      <c r="AA5" s="76">
        <v>0</v>
      </c>
      <c r="AB5" s="76">
        <v>0</v>
      </c>
      <c r="AC5" s="76">
        <v>0</v>
      </c>
      <c r="AD5" s="78">
        <v>2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80">
        <v>4</v>
      </c>
      <c r="AL5" s="77">
        <v>1</v>
      </c>
      <c r="AM5" s="77">
        <v>1</v>
      </c>
      <c r="AN5" s="76">
        <v>0</v>
      </c>
      <c r="AO5" s="76">
        <v>0</v>
      </c>
      <c r="AP5" s="79">
        <v>3</v>
      </c>
      <c r="AQ5" s="77">
        <v>1</v>
      </c>
      <c r="AR5" s="77">
        <v>1</v>
      </c>
      <c r="AS5" s="76">
        <v>0</v>
      </c>
      <c r="AT5" s="76">
        <v>0</v>
      </c>
      <c r="AU5" s="76">
        <v>0</v>
      </c>
      <c r="AV5" s="76">
        <v>0</v>
      </c>
      <c r="AW5" s="77">
        <v>1</v>
      </c>
      <c r="AX5" s="76">
        <v>0</v>
      </c>
      <c r="AY5" s="77">
        <v>1</v>
      </c>
      <c r="AZ5" s="76">
        <v>0</v>
      </c>
      <c r="BA5" s="76">
        <v>0</v>
      </c>
      <c r="BB5" s="76">
        <v>0</v>
      </c>
    </row>
    <row r="6" spans="8:54">
      <c r="H6" s="76">
        <v>0</v>
      </c>
      <c r="I6" s="76">
        <v>0</v>
      </c>
      <c r="J6" s="76">
        <v>0</v>
      </c>
      <c r="K6" s="76">
        <v>0</v>
      </c>
      <c r="L6" s="76">
        <v>0</v>
      </c>
      <c r="M6" s="76">
        <v>0</v>
      </c>
      <c r="N6" s="76">
        <v>0</v>
      </c>
      <c r="O6" s="76">
        <v>0</v>
      </c>
      <c r="P6" s="76">
        <v>0</v>
      </c>
      <c r="Q6" s="76">
        <v>0</v>
      </c>
      <c r="R6" s="76">
        <v>0</v>
      </c>
      <c r="S6" s="76">
        <v>0</v>
      </c>
      <c r="T6" s="76">
        <v>0</v>
      </c>
      <c r="U6" s="77">
        <v>1</v>
      </c>
      <c r="V6" s="76">
        <v>0</v>
      </c>
      <c r="W6" s="76">
        <v>0</v>
      </c>
      <c r="X6" s="76">
        <v>0</v>
      </c>
      <c r="Y6" s="76">
        <v>0</v>
      </c>
      <c r="Z6" s="76">
        <v>0</v>
      </c>
      <c r="AA6" s="76">
        <v>0</v>
      </c>
      <c r="AB6" s="76">
        <v>0</v>
      </c>
      <c r="AC6" s="76">
        <v>0</v>
      </c>
      <c r="AD6" s="78">
        <v>2</v>
      </c>
      <c r="AE6" s="76">
        <v>0</v>
      </c>
      <c r="AF6" s="76">
        <v>0</v>
      </c>
      <c r="AG6" s="76">
        <v>0</v>
      </c>
      <c r="AH6" s="76">
        <v>0</v>
      </c>
      <c r="AI6" s="76">
        <v>0</v>
      </c>
      <c r="AJ6" s="76">
        <v>0</v>
      </c>
      <c r="AK6" s="80">
        <v>4</v>
      </c>
      <c r="AL6" s="77">
        <v>1</v>
      </c>
      <c r="AM6" s="77">
        <v>1</v>
      </c>
      <c r="AN6" s="76">
        <v>0</v>
      </c>
      <c r="AO6" s="76">
        <v>0</v>
      </c>
      <c r="AP6" s="79">
        <v>3</v>
      </c>
      <c r="AQ6" s="76">
        <v>0</v>
      </c>
      <c r="AR6" s="76">
        <v>0</v>
      </c>
      <c r="AS6" s="76">
        <v>0</v>
      </c>
      <c r="AT6" s="76">
        <v>0</v>
      </c>
      <c r="AU6" s="76">
        <v>0</v>
      </c>
      <c r="AV6" s="76">
        <v>0</v>
      </c>
      <c r="AW6" s="77">
        <v>1</v>
      </c>
      <c r="AX6" s="76">
        <v>0</v>
      </c>
      <c r="AY6" s="76">
        <v>0</v>
      </c>
      <c r="AZ6" s="76">
        <v>0</v>
      </c>
      <c r="BA6" s="76">
        <v>0</v>
      </c>
      <c r="BB6" s="76">
        <v>0</v>
      </c>
    </row>
    <row r="7" spans="8:54">
      <c r="H7" s="76">
        <v>0</v>
      </c>
      <c r="I7" s="76">
        <v>0</v>
      </c>
      <c r="J7" s="76">
        <v>0</v>
      </c>
      <c r="K7" s="76">
        <v>0</v>
      </c>
      <c r="L7" s="76">
        <v>0</v>
      </c>
      <c r="M7" s="76">
        <v>0</v>
      </c>
      <c r="N7" s="76">
        <v>0</v>
      </c>
      <c r="O7" s="76">
        <v>0</v>
      </c>
      <c r="P7" s="76">
        <v>0</v>
      </c>
      <c r="Q7" s="76">
        <v>0</v>
      </c>
      <c r="R7" s="76">
        <v>0</v>
      </c>
      <c r="S7" s="76">
        <v>0</v>
      </c>
      <c r="T7" s="76">
        <v>0</v>
      </c>
      <c r="U7" s="77">
        <v>1</v>
      </c>
      <c r="V7" s="76">
        <v>0</v>
      </c>
      <c r="W7" s="76">
        <v>0</v>
      </c>
      <c r="X7" s="76">
        <v>0</v>
      </c>
      <c r="Y7" s="76">
        <v>0</v>
      </c>
      <c r="Z7" s="76">
        <v>0</v>
      </c>
      <c r="AA7" s="77">
        <v>1</v>
      </c>
      <c r="AB7" s="76">
        <v>0</v>
      </c>
      <c r="AC7" s="77">
        <v>1</v>
      </c>
      <c r="AD7" s="78">
        <v>2</v>
      </c>
      <c r="AE7" s="76">
        <v>0</v>
      </c>
      <c r="AF7" s="76">
        <v>0</v>
      </c>
      <c r="AG7" s="76">
        <v>0</v>
      </c>
      <c r="AH7" s="76">
        <v>0</v>
      </c>
      <c r="AI7" s="76">
        <v>0</v>
      </c>
      <c r="AJ7" s="76">
        <v>0</v>
      </c>
      <c r="AK7" s="80">
        <v>4</v>
      </c>
      <c r="AL7" s="77">
        <v>1</v>
      </c>
      <c r="AM7" s="76">
        <v>0</v>
      </c>
      <c r="AN7" s="76">
        <v>0</v>
      </c>
      <c r="AO7" s="76">
        <v>0</v>
      </c>
      <c r="AP7" s="79">
        <v>3</v>
      </c>
      <c r="AQ7" s="76">
        <v>0</v>
      </c>
      <c r="AR7" s="76">
        <v>0</v>
      </c>
      <c r="AS7" s="76">
        <v>0</v>
      </c>
      <c r="AT7" s="77">
        <v>1</v>
      </c>
      <c r="AU7" s="76">
        <v>0</v>
      </c>
      <c r="AV7" s="76">
        <v>0</v>
      </c>
      <c r="AW7" s="76">
        <v>0</v>
      </c>
      <c r="AX7" s="76">
        <v>0</v>
      </c>
      <c r="AY7" s="76">
        <v>0</v>
      </c>
      <c r="AZ7" s="76">
        <v>0</v>
      </c>
      <c r="BA7" s="76">
        <v>0</v>
      </c>
      <c r="BB7" s="76">
        <v>0</v>
      </c>
    </row>
    <row r="8" spans="8:54"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  <c r="T8" s="76">
        <v>0</v>
      </c>
      <c r="U8" s="77">
        <v>1</v>
      </c>
      <c r="V8" s="76">
        <v>0</v>
      </c>
      <c r="W8" s="77">
        <v>1</v>
      </c>
      <c r="X8" s="77">
        <v>1</v>
      </c>
      <c r="Y8" s="77">
        <v>1</v>
      </c>
      <c r="Z8" s="76">
        <v>0</v>
      </c>
      <c r="AA8" s="77">
        <v>1</v>
      </c>
      <c r="AB8" s="76">
        <v>0</v>
      </c>
      <c r="AC8" s="77">
        <v>1</v>
      </c>
      <c r="AD8" s="78">
        <v>2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80">
        <v>4</v>
      </c>
      <c r="AL8" s="77">
        <v>1</v>
      </c>
      <c r="AM8" s="77">
        <v>1</v>
      </c>
      <c r="AN8" s="76">
        <v>0</v>
      </c>
      <c r="AO8" s="76">
        <v>0</v>
      </c>
      <c r="AP8" s="79">
        <v>3</v>
      </c>
      <c r="AQ8" s="76">
        <v>0</v>
      </c>
      <c r="AR8" s="77">
        <v>1</v>
      </c>
      <c r="AS8" s="76">
        <v>0</v>
      </c>
      <c r="AT8" s="77">
        <v>1</v>
      </c>
      <c r="AU8" s="76">
        <v>0</v>
      </c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</row>
    <row r="9" spans="8:54"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  <c r="T9" s="76">
        <v>0</v>
      </c>
      <c r="U9" s="77">
        <v>1</v>
      </c>
      <c r="V9" s="77">
        <v>1</v>
      </c>
      <c r="W9" s="77">
        <v>1</v>
      </c>
      <c r="X9" s="77">
        <v>1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77">
        <v>1</v>
      </c>
      <c r="AE9" s="76">
        <v>0</v>
      </c>
      <c r="AF9" s="76">
        <v>0</v>
      </c>
      <c r="AG9" s="76">
        <v>0</v>
      </c>
      <c r="AH9" s="76">
        <v>0</v>
      </c>
      <c r="AI9" s="79">
        <v>3</v>
      </c>
      <c r="AJ9" s="76">
        <v>0</v>
      </c>
      <c r="AK9" s="79">
        <v>3</v>
      </c>
      <c r="AL9" s="77">
        <v>1</v>
      </c>
      <c r="AM9" s="76">
        <v>0</v>
      </c>
      <c r="AN9" s="76">
        <v>0</v>
      </c>
      <c r="AO9" s="76">
        <v>0</v>
      </c>
      <c r="AP9" s="79">
        <v>3</v>
      </c>
      <c r="AQ9" s="76">
        <v>0</v>
      </c>
      <c r="AR9" s="76">
        <v>0</v>
      </c>
      <c r="AS9" s="76">
        <v>0</v>
      </c>
      <c r="AT9" s="79">
        <v>3</v>
      </c>
      <c r="AU9" s="76">
        <v>0</v>
      </c>
      <c r="AV9" s="76">
        <v>0</v>
      </c>
      <c r="AW9" s="76">
        <v>0</v>
      </c>
      <c r="AX9" s="76">
        <v>0</v>
      </c>
      <c r="AY9" s="76">
        <v>0</v>
      </c>
      <c r="AZ9" s="76">
        <v>0</v>
      </c>
      <c r="BA9" s="76">
        <v>0</v>
      </c>
      <c r="BB9" s="76">
        <v>0</v>
      </c>
    </row>
    <row r="10" spans="8:54">
      <c r="H10" s="76">
        <v>0</v>
      </c>
      <c r="I10" s="76">
        <v>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6">
        <v>0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6">
        <v>0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0</v>
      </c>
      <c r="AD10" s="77">
        <v>1</v>
      </c>
      <c r="AE10" s="76">
        <v>0</v>
      </c>
      <c r="AF10" s="76">
        <v>0</v>
      </c>
      <c r="AG10" s="76">
        <v>0</v>
      </c>
      <c r="AH10" s="76">
        <v>0</v>
      </c>
      <c r="AI10" s="78">
        <v>2</v>
      </c>
      <c r="AJ10" s="76">
        <v>0</v>
      </c>
      <c r="AK10" s="79">
        <v>3</v>
      </c>
      <c r="AL10" s="77">
        <v>1</v>
      </c>
      <c r="AM10" s="76">
        <v>0</v>
      </c>
      <c r="AN10" s="76">
        <v>0</v>
      </c>
      <c r="AO10" s="76">
        <v>0</v>
      </c>
      <c r="AP10" s="79">
        <v>3</v>
      </c>
      <c r="AQ10" s="76">
        <v>0</v>
      </c>
      <c r="AR10" s="76">
        <v>0</v>
      </c>
      <c r="AS10" s="76">
        <v>0</v>
      </c>
      <c r="AT10" s="79">
        <v>3</v>
      </c>
      <c r="AU10" s="76">
        <v>0</v>
      </c>
      <c r="AV10" s="76">
        <v>0</v>
      </c>
      <c r="AW10" s="76">
        <v>0</v>
      </c>
      <c r="AX10" s="76">
        <v>0</v>
      </c>
      <c r="AY10" s="76">
        <v>0</v>
      </c>
      <c r="AZ10" s="76">
        <v>0</v>
      </c>
      <c r="BA10" s="76">
        <v>0</v>
      </c>
      <c r="BB10" s="76">
        <v>0</v>
      </c>
    </row>
    <row r="11" spans="8:54"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7">
        <v>1</v>
      </c>
      <c r="AB11" s="76">
        <v>0</v>
      </c>
      <c r="AC11" s="77">
        <v>1</v>
      </c>
      <c r="AD11" s="78">
        <v>2</v>
      </c>
      <c r="AE11" s="76">
        <v>0</v>
      </c>
      <c r="AF11" s="76">
        <v>0</v>
      </c>
      <c r="AG11" s="76">
        <v>0</v>
      </c>
      <c r="AH11" s="76">
        <v>0</v>
      </c>
      <c r="AI11" s="76">
        <v>0</v>
      </c>
      <c r="AJ11" s="76">
        <v>0</v>
      </c>
      <c r="AK11" s="80">
        <v>4</v>
      </c>
      <c r="AL11" s="77">
        <v>1</v>
      </c>
      <c r="AM11" s="77">
        <v>1</v>
      </c>
      <c r="AN11" s="76">
        <v>0</v>
      </c>
      <c r="AO11" s="76">
        <v>0</v>
      </c>
      <c r="AP11" s="79">
        <v>3</v>
      </c>
      <c r="AQ11" s="76">
        <v>0</v>
      </c>
      <c r="AR11" s="76">
        <v>0</v>
      </c>
      <c r="AS11" s="77">
        <v>1</v>
      </c>
      <c r="AT11" s="76">
        <v>0</v>
      </c>
      <c r="AU11" s="76">
        <v>0</v>
      </c>
      <c r="AV11" s="76">
        <v>0</v>
      </c>
      <c r="AW11" s="76">
        <v>0</v>
      </c>
      <c r="AX11" s="76">
        <v>0</v>
      </c>
      <c r="AY11" s="76">
        <v>0</v>
      </c>
      <c r="AZ11" s="76">
        <v>0</v>
      </c>
      <c r="BA11" s="76">
        <v>0</v>
      </c>
      <c r="BB11" s="76">
        <v>0</v>
      </c>
    </row>
    <row r="12" spans="8:54"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0</v>
      </c>
      <c r="AD12" s="78">
        <v>2</v>
      </c>
      <c r="AE12" s="76">
        <v>0</v>
      </c>
      <c r="AF12" s="76">
        <v>0</v>
      </c>
      <c r="AG12" s="76">
        <v>0</v>
      </c>
      <c r="AH12" s="76">
        <v>0</v>
      </c>
      <c r="AI12" s="76">
        <v>0</v>
      </c>
      <c r="AJ12" s="76">
        <v>0</v>
      </c>
      <c r="AK12" s="79">
        <v>3</v>
      </c>
      <c r="AL12" s="77">
        <v>1</v>
      </c>
      <c r="AM12" s="76">
        <v>0</v>
      </c>
      <c r="AN12" s="76">
        <v>0</v>
      </c>
      <c r="AO12" s="76">
        <v>0</v>
      </c>
      <c r="AP12" s="79">
        <v>3</v>
      </c>
      <c r="AQ12" s="76">
        <v>0</v>
      </c>
      <c r="AR12" s="76">
        <v>0</v>
      </c>
      <c r="AS12" s="76">
        <v>0</v>
      </c>
      <c r="AT12" s="76">
        <v>0</v>
      </c>
      <c r="AU12" s="76">
        <v>0</v>
      </c>
      <c r="AV12" s="76">
        <v>0</v>
      </c>
      <c r="AW12" s="76">
        <v>0</v>
      </c>
      <c r="AX12" s="76">
        <v>0</v>
      </c>
      <c r="AY12" s="76">
        <v>0</v>
      </c>
      <c r="AZ12" s="76">
        <v>0</v>
      </c>
      <c r="BA12" s="76">
        <v>0</v>
      </c>
      <c r="BB12" s="76">
        <v>0</v>
      </c>
    </row>
    <row r="13" spans="8:54"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7">
        <v>1</v>
      </c>
      <c r="V13" s="76">
        <v>0</v>
      </c>
      <c r="W13" s="77">
        <v>1</v>
      </c>
      <c r="X13" s="76">
        <v>0</v>
      </c>
      <c r="Y13" s="76">
        <v>0</v>
      </c>
      <c r="Z13" s="77">
        <v>1</v>
      </c>
      <c r="AA13" s="76">
        <v>0</v>
      </c>
      <c r="AB13" s="77">
        <v>1</v>
      </c>
      <c r="AC13" s="77">
        <v>1</v>
      </c>
      <c r="AD13" s="78">
        <v>2</v>
      </c>
      <c r="AE13" s="76">
        <v>0</v>
      </c>
      <c r="AF13" s="76">
        <v>0</v>
      </c>
      <c r="AG13" s="77">
        <v>1</v>
      </c>
      <c r="AH13" s="76">
        <v>0</v>
      </c>
      <c r="AI13" s="76">
        <v>0</v>
      </c>
      <c r="AJ13" s="76">
        <v>0</v>
      </c>
      <c r="AK13" s="79">
        <v>3</v>
      </c>
      <c r="AL13" s="76">
        <v>0</v>
      </c>
      <c r="AM13" s="76">
        <v>0</v>
      </c>
      <c r="AN13" s="76">
        <v>0</v>
      </c>
      <c r="AO13" s="76">
        <v>0</v>
      </c>
      <c r="AP13" s="79">
        <v>3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7">
        <v>1</v>
      </c>
      <c r="AW13" s="76">
        <v>0</v>
      </c>
      <c r="AX13" s="76">
        <v>0</v>
      </c>
      <c r="AY13" s="77">
        <v>1</v>
      </c>
      <c r="AZ13" s="76">
        <v>0</v>
      </c>
      <c r="BA13" s="76">
        <v>0</v>
      </c>
      <c r="BB13" s="76">
        <v>0</v>
      </c>
    </row>
    <row r="14" spans="8:54"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8">
        <v>2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</row>
    <row r="15" spans="8:54"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7">
        <v>1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7">
        <v>1</v>
      </c>
      <c r="AL15" s="76">
        <v>0</v>
      </c>
      <c r="AM15" s="76">
        <v>0</v>
      </c>
      <c r="AN15" s="76">
        <v>0</v>
      </c>
      <c r="AO15" s="76">
        <v>0</v>
      </c>
      <c r="AP15" s="76">
        <v>0</v>
      </c>
      <c r="AQ15" s="76">
        <v>0</v>
      </c>
      <c r="AR15" s="76">
        <v>0</v>
      </c>
      <c r="AS15" s="76">
        <v>0</v>
      </c>
      <c r="AT15" s="76">
        <v>0</v>
      </c>
      <c r="AU15" s="76">
        <v>0</v>
      </c>
      <c r="AV15" s="76">
        <v>0</v>
      </c>
      <c r="AW15" s="76">
        <v>0</v>
      </c>
      <c r="AX15" s="76">
        <v>0</v>
      </c>
      <c r="AY15" s="76">
        <v>0</v>
      </c>
      <c r="AZ15" s="76">
        <v>0</v>
      </c>
      <c r="BA15" s="76">
        <v>0</v>
      </c>
      <c r="BB15" s="76">
        <v>0</v>
      </c>
    </row>
    <row r="16" spans="8:54"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  <c r="T16" s="76">
        <v>0</v>
      </c>
      <c r="U16" s="77">
        <v>1</v>
      </c>
      <c r="V16" s="77">
        <v>1</v>
      </c>
      <c r="W16" s="77">
        <v>1</v>
      </c>
      <c r="X16" s="77">
        <v>1</v>
      </c>
      <c r="Y16" s="76">
        <v>0</v>
      </c>
      <c r="Z16" s="77">
        <v>1</v>
      </c>
      <c r="AA16" s="76">
        <v>0</v>
      </c>
      <c r="AB16" s="76">
        <v>0</v>
      </c>
      <c r="AC16" s="76">
        <v>0</v>
      </c>
      <c r="AD16" s="78">
        <v>2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80">
        <v>4</v>
      </c>
      <c r="AL16" s="76">
        <v>0</v>
      </c>
      <c r="AM16" s="77">
        <v>1</v>
      </c>
      <c r="AN16" s="76">
        <v>0</v>
      </c>
      <c r="AO16" s="76">
        <v>0</v>
      </c>
      <c r="AP16" s="79">
        <v>3</v>
      </c>
      <c r="AQ16" s="76">
        <v>0</v>
      </c>
      <c r="AR16" s="76">
        <v>0</v>
      </c>
      <c r="AS16" s="77">
        <v>1</v>
      </c>
      <c r="AT16" s="76"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</row>
    <row r="17" spans="8:54"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v>0</v>
      </c>
      <c r="U17" s="77">
        <v>1</v>
      </c>
      <c r="V17" s="76">
        <v>0</v>
      </c>
      <c r="W17" s="77">
        <v>1</v>
      </c>
      <c r="X17" s="77">
        <v>1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8">
        <v>2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80">
        <v>4</v>
      </c>
      <c r="AL17" s="76">
        <v>0</v>
      </c>
      <c r="AM17" s="77">
        <v>1</v>
      </c>
      <c r="AN17" s="76">
        <v>0</v>
      </c>
      <c r="AO17" s="76">
        <v>0</v>
      </c>
      <c r="AP17" s="79">
        <v>3</v>
      </c>
      <c r="AQ17" s="76">
        <v>0</v>
      </c>
      <c r="AR17" s="76">
        <v>0</v>
      </c>
      <c r="AS17" s="77">
        <v>1</v>
      </c>
      <c r="AT17" s="76"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</row>
    <row r="18" spans="8:54"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v>0</v>
      </c>
      <c r="R18" s="76">
        <v>0</v>
      </c>
      <c r="S18" s="76">
        <v>0</v>
      </c>
      <c r="T18" s="76">
        <v>0</v>
      </c>
      <c r="U18" s="76">
        <v>0</v>
      </c>
      <c r="V18" s="76">
        <v>0</v>
      </c>
      <c r="W18" s="77">
        <v>1</v>
      </c>
      <c r="X18" s="77">
        <v>1</v>
      </c>
      <c r="Y18" s="76">
        <v>0</v>
      </c>
      <c r="Z18" s="77">
        <v>1</v>
      </c>
      <c r="AA18" s="76">
        <v>0</v>
      </c>
      <c r="AB18" s="76">
        <v>0</v>
      </c>
      <c r="AC18" s="76">
        <v>0</v>
      </c>
      <c r="AD18" s="78">
        <v>2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80">
        <v>4</v>
      </c>
      <c r="AL18" s="76">
        <v>0</v>
      </c>
      <c r="AM18" s="77">
        <v>1</v>
      </c>
      <c r="AN18" s="76">
        <v>0</v>
      </c>
      <c r="AO18" s="76">
        <v>0</v>
      </c>
      <c r="AP18" s="79">
        <v>3</v>
      </c>
      <c r="AQ18" s="76">
        <v>0</v>
      </c>
      <c r="AR18" s="76">
        <v>0</v>
      </c>
      <c r="AS18" s="77">
        <v>1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7">
        <v>1</v>
      </c>
      <c r="AZ18" s="76">
        <v>0</v>
      </c>
      <c r="BA18" s="76">
        <v>0</v>
      </c>
      <c r="BB18" s="76">
        <v>0</v>
      </c>
    </row>
    <row r="19" spans="8:54"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8">
        <v>2</v>
      </c>
      <c r="V19" s="77">
        <v>1</v>
      </c>
      <c r="W19" s="76">
        <v>0</v>
      </c>
      <c r="X19" s="76">
        <v>0</v>
      </c>
      <c r="Y19" s="76">
        <v>0</v>
      </c>
      <c r="Z19" s="77">
        <v>1</v>
      </c>
      <c r="AA19" s="77">
        <v>1</v>
      </c>
      <c r="AB19" s="76">
        <v>0</v>
      </c>
      <c r="AC19" s="78">
        <v>2</v>
      </c>
      <c r="AD19" s="77">
        <v>1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8">
        <v>2</v>
      </c>
      <c r="AL19" s="77">
        <v>1</v>
      </c>
      <c r="AM19" s="76">
        <v>0</v>
      </c>
      <c r="AN19" s="76">
        <v>0</v>
      </c>
      <c r="AO19" s="76">
        <v>0</v>
      </c>
      <c r="AP19" s="77">
        <v>1</v>
      </c>
      <c r="AQ19" s="76">
        <v>0</v>
      </c>
      <c r="AR19" s="76">
        <v>0</v>
      </c>
      <c r="AS19" s="77">
        <v>1</v>
      </c>
      <c r="AT19" s="77">
        <v>1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7">
        <v>1</v>
      </c>
      <c r="BB19" s="76">
        <v>0</v>
      </c>
    </row>
    <row r="20" spans="8:54"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8">
        <v>2</v>
      </c>
      <c r="V20" s="77">
        <v>1</v>
      </c>
      <c r="W20" s="76">
        <v>0</v>
      </c>
      <c r="X20" s="76">
        <v>0</v>
      </c>
      <c r="Y20" s="76">
        <v>0</v>
      </c>
      <c r="Z20" s="77">
        <v>1</v>
      </c>
      <c r="AA20" s="77">
        <v>1</v>
      </c>
      <c r="AB20" s="76">
        <v>0</v>
      </c>
      <c r="AC20" s="78">
        <v>2</v>
      </c>
      <c r="AD20" s="77">
        <v>1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8">
        <v>2</v>
      </c>
      <c r="AL20" s="78">
        <v>2</v>
      </c>
      <c r="AM20" s="76">
        <v>0</v>
      </c>
      <c r="AN20" s="76">
        <v>0</v>
      </c>
      <c r="AO20" s="76">
        <v>0</v>
      </c>
      <c r="AP20" s="77">
        <v>1</v>
      </c>
      <c r="AQ20" s="76">
        <v>0</v>
      </c>
      <c r="AR20" s="76">
        <v>0</v>
      </c>
      <c r="AS20" s="77">
        <v>1</v>
      </c>
      <c r="AT20" s="77">
        <v>1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7">
        <v>1</v>
      </c>
      <c r="BB20" s="76">
        <v>0</v>
      </c>
    </row>
    <row r="21" spans="8:54"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8">
        <v>2</v>
      </c>
      <c r="V21" s="76">
        <v>0</v>
      </c>
      <c r="W21" s="77">
        <v>1</v>
      </c>
      <c r="X21" s="76">
        <v>0</v>
      </c>
      <c r="Y21" s="76">
        <v>0</v>
      </c>
      <c r="Z21" s="77">
        <v>1</v>
      </c>
      <c r="AA21" s="76">
        <v>0</v>
      </c>
      <c r="AB21" s="76">
        <v>0</v>
      </c>
      <c r="AC21" s="78">
        <v>2</v>
      </c>
      <c r="AD21" s="77">
        <v>1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8">
        <v>2</v>
      </c>
      <c r="AL21" s="77">
        <v>1</v>
      </c>
      <c r="AM21" s="77">
        <v>1</v>
      </c>
      <c r="AN21" s="76">
        <v>0</v>
      </c>
      <c r="AO21" s="76">
        <v>0</v>
      </c>
      <c r="AP21" s="79">
        <v>3</v>
      </c>
      <c r="AQ21" s="76">
        <v>0</v>
      </c>
      <c r="AR21" s="76">
        <v>0</v>
      </c>
      <c r="AS21" s="76">
        <v>0</v>
      </c>
      <c r="AT21" s="77">
        <v>1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</row>
    <row r="22" spans="8:54"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7">
        <v>1</v>
      </c>
      <c r="V22" s="76">
        <v>0</v>
      </c>
      <c r="W22" s="76">
        <v>0</v>
      </c>
      <c r="X22" s="76">
        <v>0</v>
      </c>
      <c r="Y22" s="76">
        <v>0</v>
      </c>
      <c r="Z22" s="77">
        <v>1</v>
      </c>
      <c r="AA22" s="76">
        <v>0</v>
      </c>
      <c r="AB22" s="76">
        <v>0</v>
      </c>
      <c r="AC22" s="76">
        <v>0</v>
      </c>
      <c r="AD22" s="78">
        <v>2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8">
        <v>2</v>
      </c>
      <c r="AL22" s="76">
        <v>0</v>
      </c>
      <c r="AM22" s="77">
        <v>1</v>
      </c>
      <c r="AN22" s="76">
        <v>0</v>
      </c>
      <c r="AO22" s="76">
        <v>0</v>
      </c>
      <c r="AP22" s="79">
        <v>3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7">
        <v>1</v>
      </c>
      <c r="AX22" s="76">
        <v>0</v>
      </c>
      <c r="AY22" s="77">
        <v>1</v>
      </c>
      <c r="AZ22" s="76">
        <v>0</v>
      </c>
      <c r="BA22" s="76">
        <v>0</v>
      </c>
      <c r="BB22" s="76">
        <v>0</v>
      </c>
    </row>
    <row r="23" spans="8:54"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7">
        <v>1</v>
      </c>
      <c r="V23" s="76">
        <v>0</v>
      </c>
      <c r="W23" s="77">
        <v>1</v>
      </c>
      <c r="X23" s="77">
        <v>1</v>
      </c>
      <c r="Y23" s="76">
        <v>0</v>
      </c>
      <c r="Z23" s="76">
        <v>0</v>
      </c>
      <c r="AA23" s="76">
        <v>0</v>
      </c>
      <c r="AB23" s="77">
        <v>1</v>
      </c>
      <c r="AC23" s="77">
        <v>1</v>
      </c>
      <c r="AD23" s="78">
        <v>2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80">
        <v>4</v>
      </c>
      <c r="AL23" s="76">
        <v>0</v>
      </c>
      <c r="AM23" s="77">
        <v>1</v>
      </c>
      <c r="AN23" s="76">
        <v>0</v>
      </c>
      <c r="AO23" s="76">
        <v>0</v>
      </c>
      <c r="AP23" s="79">
        <v>3</v>
      </c>
      <c r="AQ23" s="76">
        <v>0</v>
      </c>
      <c r="AR23" s="77">
        <v>1</v>
      </c>
      <c r="AS23" s="77">
        <v>1</v>
      </c>
      <c r="AT23" s="76">
        <v>0</v>
      </c>
      <c r="AU23" s="76">
        <v>0</v>
      </c>
      <c r="AV23" s="76">
        <v>0</v>
      </c>
      <c r="AW23" s="76">
        <v>0</v>
      </c>
      <c r="AX23" s="76">
        <v>0</v>
      </c>
      <c r="AY23" s="77">
        <v>1</v>
      </c>
      <c r="AZ23" s="76">
        <v>0</v>
      </c>
      <c r="BA23" s="76">
        <v>0</v>
      </c>
      <c r="BB23" s="76">
        <v>0</v>
      </c>
    </row>
    <row r="24" spans="8:54"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7">
        <v>1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7">
        <v>1</v>
      </c>
      <c r="AK24" s="79">
        <v>3</v>
      </c>
      <c r="AL24" s="76">
        <v>0</v>
      </c>
      <c r="AM24" s="76">
        <v>0</v>
      </c>
      <c r="AN24" s="76">
        <v>0</v>
      </c>
      <c r="AO24" s="76">
        <v>0</v>
      </c>
      <c r="AP24" s="79">
        <v>3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</row>
    <row r="25" spans="8:54"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7">
        <v>1</v>
      </c>
      <c r="X25" s="77">
        <v>1</v>
      </c>
      <c r="Y25" s="76">
        <v>0</v>
      </c>
      <c r="Z25" s="77">
        <v>1</v>
      </c>
      <c r="AA25" s="77">
        <v>1</v>
      </c>
      <c r="AB25" s="76">
        <v>0</v>
      </c>
      <c r="AC25" s="76">
        <v>0</v>
      </c>
      <c r="AD25" s="78">
        <v>2</v>
      </c>
      <c r="AE25" s="76">
        <v>0</v>
      </c>
      <c r="AF25" s="76">
        <v>0</v>
      </c>
      <c r="AG25" s="76">
        <v>0</v>
      </c>
      <c r="AH25" s="76">
        <v>0</v>
      </c>
      <c r="AI25" s="80">
        <v>4</v>
      </c>
      <c r="AJ25" s="76">
        <v>0</v>
      </c>
      <c r="AK25" s="80">
        <v>4</v>
      </c>
      <c r="AL25" s="77">
        <v>1</v>
      </c>
      <c r="AM25" s="77">
        <v>1</v>
      </c>
      <c r="AN25" s="76">
        <v>0</v>
      </c>
      <c r="AO25" s="76">
        <v>0</v>
      </c>
      <c r="AP25" s="79">
        <v>3</v>
      </c>
      <c r="AQ25" s="76">
        <v>0</v>
      </c>
      <c r="AR25" s="76">
        <v>0</v>
      </c>
      <c r="AS25" s="76">
        <v>0</v>
      </c>
      <c r="AT25" s="79">
        <v>3</v>
      </c>
      <c r="AU25" s="76">
        <v>0</v>
      </c>
      <c r="AV25" s="76">
        <v>0</v>
      </c>
      <c r="AW25" s="76">
        <v>0</v>
      </c>
      <c r="AX25" s="76">
        <v>0</v>
      </c>
      <c r="AY25" s="77">
        <v>1</v>
      </c>
      <c r="AZ25" s="76">
        <v>0</v>
      </c>
      <c r="BA25" s="76">
        <v>0</v>
      </c>
      <c r="BB25" s="76">
        <v>0</v>
      </c>
    </row>
    <row r="26" spans="8:54"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8">
        <v>2</v>
      </c>
      <c r="AE26" s="76">
        <v>0</v>
      </c>
      <c r="AF26" s="76">
        <v>0</v>
      </c>
      <c r="AG26" s="76">
        <v>0</v>
      </c>
      <c r="AH26" s="76">
        <v>0</v>
      </c>
      <c r="AI26" s="79">
        <v>3</v>
      </c>
      <c r="AJ26" s="76">
        <v>0</v>
      </c>
      <c r="AK26" s="80">
        <v>4</v>
      </c>
      <c r="AL26" s="77">
        <v>1</v>
      </c>
      <c r="AM26" s="77">
        <v>1</v>
      </c>
      <c r="AN26" s="76">
        <v>0</v>
      </c>
      <c r="AO26" s="76">
        <v>0</v>
      </c>
      <c r="AP26" s="79">
        <v>3</v>
      </c>
      <c r="AQ26" s="76">
        <v>0</v>
      </c>
      <c r="AR26" s="76">
        <v>0</v>
      </c>
      <c r="AS26" s="76">
        <v>0</v>
      </c>
      <c r="AT26" s="79">
        <v>3</v>
      </c>
      <c r="AU26" s="76">
        <v>0</v>
      </c>
      <c r="AV26" s="76">
        <v>0</v>
      </c>
      <c r="AW26" s="76">
        <v>0</v>
      </c>
      <c r="AX26" s="76">
        <v>0</v>
      </c>
      <c r="AY26" s="77">
        <v>1</v>
      </c>
      <c r="AZ26" s="76">
        <v>0</v>
      </c>
      <c r="BA26" s="76">
        <v>0</v>
      </c>
      <c r="BB26" s="76">
        <v>0</v>
      </c>
    </row>
    <row r="27" spans="8:54"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7">
        <v>1</v>
      </c>
      <c r="X27" s="76">
        <v>0</v>
      </c>
      <c r="Y27" s="76">
        <v>0</v>
      </c>
      <c r="Z27" s="76">
        <v>0</v>
      </c>
      <c r="AA27" s="77">
        <v>1</v>
      </c>
      <c r="AB27" s="76">
        <v>0</v>
      </c>
      <c r="AC27" s="76">
        <v>0</v>
      </c>
      <c r="AD27" s="78">
        <v>2</v>
      </c>
      <c r="AE27" s="76">
        <v>0</v>
      </c>
      <c r="AF27" s="76">
        <v>0</v>
      </c>
      <c r="AG27" s="76">
        <v>0</v>
      </c>
      <c r="AH27" s="76">
        <v>0</v>
      </c>
      <c r="AI27" s="77">
        <v>1</v>
      </c>
      <c r="AJ27" s="76">
        <v>0</v>
      </c>
      <c r="AK27" s="80">
        <v>4</v>
      </c>
      <c r="AL27" s="79">
        <v>3</v>
      </c>
      <c r="AM27" s="77">
        <v>1</v>
      </c>
      <c r="AN27" s="76">
        <v>0</v>
      </c>
      <c r="AO27" s="76">
        <v>0</v>
      </c>
      <c r="AP27" s="79">
        <v>3</v>
      </c>
      <c r="AQ27" s="76">
        <v>0</v>
      </c>
      <c r="AR27" s="77">
        <v>1</v>
      </c>
      <c r="AS27" s="77">
        <v>1</v>
      </c>
      <c r="AT27" s="76">
        <v>0</v>
      </c>
      <c r="AU27" s="76">
        <v>0</v>
      </c>
      <c r="AV27" s="76">
        <v>0</v>
      </c>
      <c r="AW27" s="76">
        <v>0</v>
      </c>
      <c r="AX27" s="76">
        <v>0</v>
      </c>
      <c r="AY27" s="77">
        <v>1</v>
      </c>
      <c r="AZ27" s="76">
        <v>0</v>
      </c>
      <c r="BA27" s="76">
        <v>0</v>
      </c>
      <c r="BB27" s="76">
        <v>0</v>
      </c>
    </row>
    <row r="28" spans="8:54"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7">
        <v>1</v>
      </c>
      <c r="X28" s="76">
        <v>0</v>
      </c>
      <c r="Y28" s="76">
        <v>0</v>
      </c>
      <c r="Z28" s="76">
        <v>0</v>
      </c>
      <c r="AA28" s="77">
        <v>1</v>
      </c>
      <c r="AB28" s="76">
        <v>0</v>
      </c>
      <c r="AC28" s="76">
        <v>0</v>
      </c>
      <c r="AD28" s="78">
        <v>2</v>
      </c>
      <c r="AE28" s="76">
        <v>0</v>
      </c>
      <c r="AF28" s="76">
        <v>0</v>
      </c>
      <c r="AG28" s="76">
        <v>0</v>
      </c>
      <c r="AH28" s="76">
        <v>0</v>
      </c>
      <c r="AI28" s="77">
        <v>1</v>
      </c>
      <c r="AJ28" s="76">
        <v>0</v>
      </c>
      <c r="AK28" s="80">
        <v>4</v>
      </c>
      <c r="AL28" s="79">
        <v>3</v>
      </c>
      <c r="AM28" s="77">
        <v>1</v>
      </c>
      <c r="AN28" s="76">
        <v>0</v>
      </c>
      <c r="AO28" s="76">
        <v>0</v>
      </c>
      <c r="AP28" s="79">
        <v>3</v>
      </c>
      <c r="AQ28" s="76">
        <v>0</v>
      </c>
      <c r="AR28" s="77">
        <v>1</v>
      </c>
      <c r="AS28" s="77">
        <v>1</v>
      </c>
      <c r="AT28" s="76">
        <v>0</v>
      </c>
      <c r="AU28" s="76">
        <v>0</v>
      </c>
      <c r="AV28" s="76">
        <v>0</v>
      </c>
      <c r="AW28" s="76">
        <v>0</v>
      </c>
      <c r="AX28" s="76">
        <v>0</v>
      </c>
      <c r="AY28" s="77">
        <v>1</v>
      </c>
      <c r="AZ28" s="76">
        <v>0</v>
      </c>
      <c r="BA28" s="76">
        <v>0</v>
      </c>
      <c r="BB28" s="76">
        <v>0</v>
      </c>
    </row>
    <row r="29" spans="8:54"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7">
        <v>1</v>
      </c>
      <c r="Z29" s="76">
        <v>0</v>
      </c>
      <c r="AA29" s="76">
        <v>0</v>
      </c>
      <c r="AB29" s="76">
        <v>0</v>
      </c>
      <c r="AC29" s="76">
        <v>0</v>
      </c>
      <c r="AD29" s="78">
        <v>2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80">
        <v>4</v>
      </c>
      <c r="AL29" s="79">
        <v>3</v>
      </c>
      <c r="AM29" s="77">
        <v>1</v>
      </c>
      <c r="AN29" s="76">
        <v>0</v>
      </c>
      <c r="AO29" s="76">
        <v>0</v>
      </c>
      <c r="AP29" s="79">
        <v>3</v>
      </c>
      <c r="AQ29" s="76">
        <v>0</v>
      </c>
      <c r="AR29" s="77">
        <v>1</v>
      </c>
      <c r="AS29" s="77">
        <v>1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</row>
    <row r="30" spans="8:54"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7">
        <v>1</v>
      </c>
      <c r="AE30" s="76">
        <v>0</v>
      </c>
      <c r="AF30" s="76">
        <v>0</v>
      </c>
      <c r="AG30" s="76">
        <v>0</v>
      </c>
      <c r="AH30" s="77">
        <v>1</v>
      </c>
      <c r="AI30" s="76">
        <v>0</v>
      </c>
      <c r="AJ30" s="76">
        <v>0</v>
      </c>
      <c r="AK30" s="79">
        <v>3</v>
      </c>
      <c r="AL30" s="79">
        <v>3</v>
      </c>
      <c r="AM30" s="76">
        <v>0</v>
      </c>
      <c r="AN30" s="76">
        <v>0</v>
      </c>
      <c r="AO30" s="76">
        <v>0</v>
      </c>
      <c r="AP30" s="79">
        <v>3</v>
      </c>
      <c r="AQ30" s="76">
        <v>0</v>
      </c>
      <c r="AR30" s="77">
        <v>1</v>
      </c>
      <c r="AS30" s="76">
        <v>0</v>
      </c>
      <c r="AT30" s="76"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</row>
    <row r="31" spans="8:54"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7">
        <v>1</v>
      </c>
      <c r="Z31" s="77">
        <v>1</v>
      </c>
      <c r="AA31" s="76">
        <v>0</v>
      </c>
      <c r="AB31" s="76">
        <v>0</v>
      </c>
      <c r="AC31" s="76">
        <v>0</v>
      </c>
      <c r="AD31" s="77">
        <v>1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9">
        <v>3</v>
      </c>
      <c r="AL31" s="80">
        <v>4</v>
      </c>
      <c r="AM31" s="77">
        <v>1</v>
      </c>
      <c r="AN31" s="76">
        <v>0</v>
      </c>
      <c r="AO31" s="76">
        <v>0</v>
      </c>
      <c r="AP31" s="80">
        <v>4</v>
      </c>
      <c r="AQ31" s="76">
        <v>0</v>
      </c>
      <c r="AR31" s="78">
        <v>2</v>
      </c>
      <c r="AS31" s="77">
        <v>1</v>
      </c>
      <c r="AT31" s="76">
        <v>0</v>
      </c>
      <c r="AU31" s="76">
        <v>0</v>
      </c>
      <c r="AV31" s="76">
        <v>0</v>
      </c>
      <c r="AW31" s="77">
        <v>1</v>
      </c>
      <c r="AX31" s="76">
        <v>0</v>
      </c>
      <c r="AY31" s="77">
        <v>1</v>
      </c>
      <c r="AZ31" s="76">
        <v>0</v>
      </c>
      <c r="BA31" s="76">
        <v>0</v>
      </c>
      <c r="BB31" s="76">
        <v>0</v>
      </c>
    </row>
    <row r="32" spans="8:54">
      <c r="H32" s="76">
        <v>0</v>
      </c>
      <c r="I32" s="76">
        <v>0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8">
        <v>2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7">
        <v>1</v>
      </c>
      <c r="AL32" s="77">
        <v>1</v>
      </c>
      <c r="AM32" s="77">
        <v>1</v>
      </c>
      <c r="AN32" s="76">
        <v>0</v>
      </c>
      <c r="AO32" s="76">
        <v>0</v>
      </c>
      <c r="AP32" s="76">
        <v>0</v>
      </c>
      <c r="AQ32" s="76">
        <v>0</v>
      </c>
      <c r="AR32" s="78">
        <v>2</v>
      </c>
      <c r="AS32" s="76">
        <v>0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</row>
    <row r="33" spans="8:54"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8">
        <v>2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7">
        <v>1</v>
      </c>
      <c r="AS33" s="76">
        <v>0</v>
      </c>
      <c r="AT33" s="77">
        <v>1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</row>
    <row r="34" spans="8:54"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7">
        <v>1</v>
      </c>
      <c r="V34" s="77">
        <v>1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8">
        <v>2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8">
        <v>2</v>
      </c>
      <c r="AL34" s="76">
        <v>0</v>
      </c>
      <c r="AM34" s="76">
        <v>0</v>
      </c>
      <c r="AN34" s="76">
        <v>0</v>
      </c>
      <c r="AO34" s="76">
        <v>0</v>
      </c>
      <c r="AP34" s="76">
        <v>0</v>
      </c>
      <c r="AQ34" s="76">
        <v>0</v>
      </c>
      <c r="AR34" s="77">
        <v>1</v>
      </c>
      <c r="AS34" s="76">
        <v>0</v>
      </c>
      <c r="AT34" s="76">
        <v>0</v>
      </c>
      <c r="AU34" s="76">
        <v>0</v>
      </c>
      <c r="AV34" s="76">
        <v>0</v>
      </c>
      <c r="AW34" s="76">
        <v>0</v>
      </c>
      <c r="AX34" s="76">
        <v>0</v>
      </c>
      <c r="AY34" s="76">
        <v>0</v>
      </c>
      <c r="AZ34" s="76">
        <v>0</v>
      </c>
      <c r="BA34" s="76">
        <v>0</v>
      </c>
      <c r="BB34" s="76">
        <v>0</v>
      </c>
    </row>
    <row r="35" spans="8:54"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7">
        <v>1</v>
      </c>
      <c r="V35" s="77">
        <v>1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8">
        <v>2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8">
        <v>2</v>
      </c>
      <c r="AL35" s="76">
        <v>0</v>
      </c>
      <c r="AM35" s="77">
        <v>1</v>
      </c>
      <c r="AN35" s="76">
        <v>0</v>
      </c>
      <c r="AO35" s="76">
        <v>0</v>
      </c>
      <c r="AP35" s="76">
        <v>0</v>
      </c>
      <c r="AQ35" s="76">
        <v>0</v>
      </c>
      <c r="AR35" s="77">
        <v>1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</row>
    <row r="36" spans="8:54"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7">
        <v>1</v>
      </c>
      <c r="AB36" s="77">
        <v>1</v>
      </c>
      <c r="AC36" s="77">
        <v>1</v>
      </c>
      <c r="AD36" s="77">
        <v>1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</row>
    <row r="37" spans="8:54"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7">
        <v>1</v>
      </c>
      <c r="AC37" s="76">
        <v>0</v>
      </c>
      <c r="AD37" s="77">
        <v>1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7">
        <v>1</v>
      </c>
      <c r="BB37" s="76">
        <v>0</v>
      </c>
    </row>
    <row r="38" spans="8:54"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7">
        <v>1</v>
      </c>
      <c r="V38" s="76">
        <v>0</v>
      </c>
      <c r="W38" s="76">
        <v>0</v>
      </c>
      <c r="X38" s="76">
        <v>0</v>
      </c>
      <c r="Y38" s="76">
        <v>0</v>
      </c>
      <c r="Z38" s="77">
        <v>1</v>
      </c>
      <c r="AA38" s="76">
        <v>0</v>
      </c>
      <c r="AB38" s="76">
        <v>0</v>
      </c>
      <c r="AC38" s="77">
        <v>1</v>
      </c>
      <c r="AD38" s="77">
        <v>1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9">
        <v>3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7">
        <v>1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7">
        <v>1</v>
      </c>
      <c r="AY38" s="76">
        <v>0</v>
      </c>
      <c r="AZ38" s="76">
        <v>0</v>
      </c>
      <c r="BA38" s="76">
        <v>0</v>
      </c>
      <c r="BB38" s="76">
        <v>0</v>
      </c>
    </row>
    <row r="39" spans="8:54"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7">
        <v>1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7">
        <v>1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9">
        <v>3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7">
        <v>1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7">
        <v>1</v>
      </c>
      <c r="AY39" s="76">
        <v>0</v>
      </c>
      <c r="AZ39" s="76">
        <v>0</v>
      </c>
      <c r="BA39" s="76">
        <v>0</v>
      </c>
      <c r="BB39" s="76">
        <v>0</v>
      </c>
    </row>
    <row r="40" spans="8:54"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7">
        <v>1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7">
        <v>1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9">
        <v>3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7">
        <v>1</v>
      </c>
      <c r="AS40" s="77">
        <v>1</v>
      </c>
      <c r="AT40" s="76">
        <v>0</v>
      </c>
      <c r="AU40" s="76">
        <v>0</v>
      </c>
      <c r="AV40" s="76">
        <v>0</v>
      </c>
      <c r="AW40" s="76">
        <v>0</v>
      </c>
      <c r="AX40" s="77">
        <v>1</v>
      </c>
      <c r="AY40" s="76">
        <v>0</v>
      </c>
      <c r="AZ40" s="76">
        <v>0</v>
      </c>
      <c r="BA40" s="76">
        <v>0</v>
      </c>
      <c r="BB40" s="76">
        <v>0</v>
      </c>
    </row>
    <row r="41" spans="8:54"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7">
        <v>1</v>
      </c>
      <c r="P41" s="77">
        <v>1</v>
      </c>
      <c r="Q41" s="77">
        <v>1</v>
      </c>
      <c r="R41" s="77">
        <v>1</v>
      </c>
      <c r="S41" s="77">
        <v>1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7">
        <v>1</v>
      </c>
      <c r="AB41" s="77">
        <v>1</v>
      </c>
      <c r="AC41" s="77">
        <v>1</v>
      </c>
      <c r="AD41" s="78">
        <v>2</v>
      </c>
      <c r="AE41" s="77">
        <v>1</v>
      </c>
      <c r="AF41" s="77">
        <v>1</v>
      </c>
      <c r="AG41" s="77">
        <v>1</v>
      </c>
      <c r="AH41" s="77">
        <v>1</v>
      </c>
      <c r="AI41" s="77">
        <v>1</v>
      </c>
      <c r="AJ41" s="77">
        <v>1</v>
      </c>
      <c r="AK41" s="80">
        <v>4</v>
      </c>
      <c r="AL41" s="77">
        <v>1</v>
      </c>
      <c r="AM41" s="77">
        <v>1</v>
      </c>
      <c r="AN41" s="76">
        <v>0</v>
      </c>
      <c r="AO41" s="76">
        <v>0</v>
      </c>
      <c r="AP41" s="80">
        <v>4</v>
      </c>
      <c r="AQ41" s="77">
        <v>1</v>
      </c>
      <c r="AR41" s="79">
        <v>3</v>
      </c>
      <c r="AS41" s="77">
        <v>1</v>
      </c>
      <c r="AT41" s="77">
        <v>1</v>
      </c>
      <c r="AU41" s="76">
        <v>0</v>
      </c>
      <c r="AV41" s="77">
        <v>1</v>
      </c>
      <c r="AW41" s="76">
        <v>0</v>
      </c>
      <c r="AX41" s="77">
        <v>1</v>
      </c>
      <c r="AY41" s="77">
        <v>1</v>
      </c>
      <c r="AZ41" s="77">
        <v>1</v>
      </c>
      <c r="BA41" s="77">
        <v>1</v>
      </c>
      <c r="BB41" s="76">
        <v>0</v>
      </c>
    </row>
    <row r="42" spans="8:54"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7">
        <v>1</v>
      </c>
      <c r="P42" s="77">
        <v>1</v>
      </c>
      <c r="Q42" s="77">
        <v>1</v>
      </c>
      <c r="R42" s="77">
        <v>1</v>
      </c>
      <c r="S42" s="77">
        <v>1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7">
        <v>1</v>
      </c>
      <c r="AB42" s="77">
        <v>1</v>
      </c>
      <c r="AC42" s="77">
        <v>1</v>
      </c>
      <c r="AD42" s="78">
        <v>2</v>
      </c>
      <c r="AE42" s="77">
        <v>1</v>
      </c>
      <c r="AF42" s="77">
        <v>1</v>
      </c>
      <c r="AG42" s="77">
        <v>1</v>
      </c>
      <c r="AH42" s="77">
        <v>1</v>
      </c>
      <c r="AI42" s="77">
        <v>1</v>
      </c>
      <c r="AJ42" s="77">
        <v>1</v>
      </c>
      <c r="AK42" s="80">
        <v>4</v>
      </c>
      <c r="AL42" s="77">
        <v>1</v>
      </c>
      <c r="AM42" s="77">
        <v>1</v>
      </c>
      <c r="AN42" s="76">
        <v>0</v>
      </c>
      <c r="AO42" s="76">
        <v>0</v>
      </c>
      <c r="AP42" s="79">
        <v>3</v>
      </c>
      <c r="AQ42" s="77">
        <v>1</v>
      </c>
      <c r="AR42" s="80">
        <v>4</v>
      </c>
      <c r="AS42" s="77">
        <v>1</v>
      </c>
      <c r="AT42" s="77">
        <v>1</v>
      </c>
      <c r="AU42" s="76">
        <v>0</v>
      </c>
      <c r="AV42" s="77">
        <v>1</v>
      </c>
      <c r="AW42" s="76">
        <v>0</v>
      </c>
      <c r="AX42" s="77">
        <v>1</v>
      </c>
      <c r="AY42" s="77">
        <v>1</v>
      </c>
      <c r="AZ42" s="77">
        <v>1</v>
      </c>
      <c r="BA42" s="77">
        <v>1</v>
      </c>
      <c r="BB42" s="76">
        <v>0</v>
      </c>
    </row>
    <row r="43" spans="8:54"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7">
        <v>1</v>
      </c>
      <c r="AE43" s="76">
        <v>0</v>
      </c>
      <c r="AF43" s="76">
        <v>0</v>
      </c>
      <c r="AG43" s="76">
        <v>0</v>
      </c>
      <c r="AH43" s="77">
        <v>1</v>
      </c>
      <c r="AI43" s="77">
        <v>1</v>
      </c>
      <c r="AJ43" s="76">
        <v>0</v>
      </c>
      <c r="AK43" s="79">
        <v>3</v>
      </c>
      <c r="AL43" s="76">
        <v>0</v>
      </c>
      <c r="AM43" s="76">
        <v>0</v>
      </c>
      <c r="AN43" s="76">
        <v>0</v>
      </c>
      <c r="AO43" s="76">
        <v>0</v>
      </c>
      <c r="AP43" s="79">
        <v>3</v>
      </c>
      <c r="AQ43" s="76">
        <v>0</v>
      </c>
      <c r="AR43" s="79">
        <v>3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7">
        <v>1</v>
      </c>
      <c r="BA43" s="76">
        <v>0</v>
      </c>
      <c r="BB43" s="76">
        <v>0</v>
      </c>
    </row>
    <row r="44" spans="8:54"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7">
        <v>1</v>
      </c>
      <c r="AE44" s="76">
        <v>0</v>
      </c>
      <c r="AF44" s="76">
        <v>0</v>
      </c>
      <c r="AG44" s="76">
        <v>0</v>
      </c>
      <c r="AH44" s="77">
        <v>1</v>
      </c>
      <c r="AI44" s="77">
        <v>1</v>
      </c>
      <c r="AJ44" s="76">
        <v>0</v>
      </c>
      <c r="AK44" s="79">
        <v>3</v>
      </c>
      <c r="AL44" s="76">
        <v>0</v>
      </c>
      <c r="AM44" s="76">
        <v>0</v>
      </c>
      <c r="AN44" s="76">
        <v>0</v>
      </c>
      <c r="AO44" s="76">
        <v>0</v>
      </c>
      <c r="AP44" s="79">
        <v>3</v>
      </c>
      <c r="AQ44" s="76">
        <v>0</v>
      </c>
      <c r="AR44" s="79">
        <v>3</v>
      </c>
      <c r="AS44" s="76">
        <v>0</v>
      </c>
      <c r="AT44" s="76">
        <v>0</v>
      </c>
      <c r="AU44" s="76">
        <v>0</v>
      </c>
      <c r="AV44" s="76">
        <v>0</v>
      </c>
      <c r="AW44" s="76">
        <v>0</v>
      </c>
      <c r="AX44" s="76">
        <v>0</v>
      </c>
      <c r="AY44" s="76">
        <v>0</v>
      </c>
      <c r="AZ44" s="77">
        <v>1</v>
      </c>
      <c r="BA44" s="76">
        <v>0</v>
      </c>
      <c r="BB44" s="76">
        <v>0</v>
      </c>
    </row>
    <row r="45" spans="8:54"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7">
        <v>1</v>
      </c>
      <c r="P45" s="77">
        <v>1</v>
      </c>
      <c r="Q45" s="77">
        <v>1</v>
      </c>
      <c r="R45" s="77">
        <v>1</v>
      </c>
      <c r="S45" s="77">
        <v>1</v>
      </c>
      <c r="T45" s="76">
        <v>0</v>
      </c>
      <c r="U45" s="76">
        <v>0</v>
      </c>
      <c r="V45" s="76">
        <v>0</v>
      </c>
      <c r="W45" s="77">
        <v>1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7">
        <v>1</v>
      </c>
      <c r="AE45" s="76">
        <v>0</v>
      </c>
      <c r="AF45" s="77">
        <v>1</v>
      </c>
      <c r="AG45" s="77">
        <v>1</v>
      </c>
      <c r="AH45" s="76">
        <v>0</v>
      </c>
      <c r="AI45" s="77">
        <v>1</v>
      </c>
      <c r="AJ45" s="76">
        <v>0</v>
      </c>
      <c r="AK45" s="77">
        <v>1</v>
      </c>
      <c r="AL45" s="76">
        <v>0</v>
      </c>
      <c r="AM45" s="76">
        <v>0</v>
      </c>
      <c r="AN45" s="76">
        <v>0</v>
      </c>
      <c r="AO45" s="76">
        <v>0</v>
      </c>
      <c r="AP45" s="79">
        <v>3</v>
      </c>
      <c r="AQ45" s="76">
        <v>0</v>
      </c>
      <c r="AR45" s="79">
        <v>3</v>
      </c>
      <c r="AS45" s="76">
        <v>0</v>
      </c>
      <c r="AT45" s="76">
        <v>0</v>
      </c>
      <c r="AU45" s="76">
        <v>0</v>
      </c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</row>
    <row r="46" spans="8:54"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7">
        <v>1</v>
      </c>
      <c r="Q46" s="76">
        <v>0</v>
      </c>
      <c r="R46" s="77">
        <v>1</v>
      </c>
      <c r="S46" s="77">
        <v>1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7">
        <v>1</v>
      </c>
      <c r="AB46" s="77">
        <v>1</v>
      </c>
      <c r="AC46" s="77">
        <v>1</v>
      </c>
      <c r="AD46" s="78">
        <v>2</v>
      </c>
      <c r="AE46" s="76">
        <v>0</v>
      </c>
      <c r="AF46" s="77">
        <v>1</v>
      </c>
      <c r="AG46" s="76">
        <v>0</v>
      </c>
      <c r="AH46" s="77">
        <v>1</v>
      </c>
      <c r="AI46" s="77">
        <v>1</v>
      </c>
      <c r="AJ46" s="76">
        <v>0</v>
      </c>
      <c r="AK46" s="77">
        <v>1</v>
      </c>
      <c r="AL46" s="77">
        <v>1</v>
      </c>
      <c r="AM46" s="77">
        <v>1</v>
      </c>
      <c r="AN46" s="76">
        <v>0</v>
      </c>
      <c r="AO46" s="76">
        <v>0</v>
      </c>
      <c r="AP46" s="79">
        <v>3</v>
      </c>
      <c r="AQ46" s="76">
        <v>0</v>
      </c>
      <c r="AR46" s="80">
        <v>4</v>
      </c>
      <c r="AS46" s="77">
        <v>1</v>
      </c>
      <c r="AT46" s="76">
        <v>0</v>
      </c>
      <c r="AU46" s="77">
        <v>1</v>
      </c>
      <c r="AV46" s="76">
        <v>0</v>
      </c>
      <c r="AW46" s="76">
        <v>0</v>
      </c>
      <c r="AX46" s="77">
        <v>1</v>
      </c>
      <c r="AY46" s="77">
        <v>1</v>
      </c>
      <c r="AZ46" s="76">
        <v>0</v>
      </c>
      <c r="BA46" s="76">
        <v>0</v>
      </c>
      <c r="BB46" s="76">
        <v>0</v>
      </c>
    </row>
    <row r="47" spans="8:54"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7">
        <v>1</v>
      </c>
      <c r="AE47" s="76">
        <v>0</v>
      </c>
      <c r="AF47" s="76">
        <v>0</v>
      </c>
      <c r="AG47" s="76">
        <v>0</v>
      </c>
      <c r="AH47" s="77">
        <v>1</v>
      </c>
      <c r="AI47" s="77">
        <v>1</v>
      </c>
      <c r="AJ47" s="76">
        <v>0</v>
      </c>
      <c r="AK47" s="76">
        <v>0</v>
      </c>
      <c r="AL47" s="76">
        <v>0</v>
      </c>
      <c r="AM47" s="76">
        <v>0</v>
      </c>
      <c r="AN47" s="76">
        <v>0</v>
      </c>
      <c r="AO47" s="76">
        <v>0</v>
      </c>
      <c r="AP47" s="79">
        <v>3</v>
      </c>
      <c r="AQ47" s="76">
        <v>0</v>
      </c>
      <c r="AR47" s="79">
        <v>3</v>
      </c>
      <c r="AS47" s="76">
        <v>0</v>
      </c>
      <c r="AT47" s="76">
        <v>0</v>
      </c>
      <c r="AU47" s="76">
        <v>0</v>
      </c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</row>
    <row r="48" spans="8:54"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7">
        <v>1</v>
      </c>
      <c r="AC48" s="77">
        <v>1</v>
      </c>
      <c r="AD48" s="78">
        <v>2</v>
      </c>
      <c r="AE48" s="76">
        <v>0</v>
      </c>
      <c r="AF48" s="76">
        <v>0</v>
      </c>
      <c r="AG48" s="76">
        <v>0</v>
      </c>
      <c r="AH48" s="76">
        <v>0</v>
      </c>
      <c r="AI48" s="77">
        <v>1</v>
      </c>
      <c r="AJ48" s="76">
        <v>0</v>
      </c>
      <c r="AK48" s="77">
        <v>1</v>
      </c>
      <c r="AL48" s="76">
        <v>0</v>
      </c>
      <c r="AM48" s="77">
        <v>1</v>
      </c>
      <c r="AN48" s="76">
        <v>0</v>
      </c>
      <c r="AO48" s="76">
        <v>0</v>
      </c>
      <c r="AP48" s="79">
        <v>3</v>
      </c>
      <c r="AQ48" s="76">
        <v>0</v>
      </c>
      <c r="AR48" s="80">
        <v>4</v>
      </c>
      <c r="AS48" s="76">
        <v>0</v>
      </c>
      <c r="AT48" s="76">
        <v>0</v>
      </c>
      <c r="AU48" s="76">
        <v>0</v>
      </c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  <c r="BB48" s="76">
        <v>0</v>
      </c>
    </row>
    <row r="49" spans="8:54"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7">
        <v>1</v>
      </c>
      <c r="AB49" s="77">
        <v>1</v>
      </c>
      <c r="AC49" s="77">
        <v>1</v>
      </c>
      <c r="AD49" s="78">
        <v>2</v>
      </c>
      <c r="AE49" s="76">
        <v>0</v>
      </c>
      <c r="AF49" s="76">
        <v>0</v>
      </c>
      <c r="AG49" s="76">
        <v>0</v>
      </c>
      <c r="AH49" s="76">
        <v>0</v>
      </c>
      <c r="AI49" s="77">
        <v>1</v>
      </c>
      <c r="AJ49" s="76">
        <v>0</v>
      </c>
      <c r="AK49" s="77">
        <v>1</v>
      </c>
      <c r="AL49" s="77">
        <v>1</v>
      </c>
      <c r="AM49" s="77">
        <v>1</v>
      </c>
      <c r="AN49" s="76">
        <v>0</v>
      </c>
      <c r="AO49" s="76">
        <v>0</v>
      </c>
      <c r="AP49" s="79">
        <v>3</v>
      </c>
      <c r="AQ49" s="76">
        <v>0</v>
      </c>
      <c r="AR49" s="80">
        <v>4</v>
      </c>
      <c r="AS49" s="77">
        <v>1</v>
      </c>
      <c r="AT49" s="76">
        <v>0</v>
      </c>
      <c r="AU49" s="76">
        <v>0</v>
      </c>
      <c r="AV49" s="76">
        <v>0</v>
      </c>
      <c r="AW49" s="76">
        <v>0</v>
      </c>
      <c r="AX49" s="76">
        <v>0</v>
      </c>
      <c r="AY49" s="76">
        <v>0</v>
      </c>
      <c r="AZ49" s="76">
        <v>0</v>
      </c>
      <c r="BA49" s="76">
        <v>0</v>
      </c>
      <c r="BB49" s="76">
        <v>0</v>
      </c>
    </row>
    <row r="50" spans="8:54"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6">
        <v>0</v>
      </c>
      <c r="V50" s="76">
        <v>0</v>
      </c>
      <c r="W50" s="76">
        <v>0</v>
      </c>
      <c r="X50" s="76">
        <v>0</v>
      </c>
      <c r="Y50" s="76">
        <v>0</v>
      </c>
      <c r="Z50" s="76">
        <v>0</v>
      </c>
      <c r="AA50" s="77">
        <v>1</v>
      </c>
      <c r="AB50" s="77">
        <v>1</v>
      </c>
      <c r="AC50" s="77">
        <v>1</v>
      </c>
      <c r="AD50" s="78">
        <v>2</v>
      </c>
      <c r="AE50" s="76">
        <v>0</v>
      </c>
      <c r="AF50" s="76">
        <v>0</v>
      </c>
      <c r="AG50" s="76">
        <v>0</v>
      </c>
      <c r="AH50" s="76">
        <v>0</v>
      </c>
      <c r="AI50" s="76">
        <v>0</v>
      </c>
      <c r="AJ50" s="76">
        <v>0</v>
      </c>
      <c r="AK50" s="77">
        <v>1</v>
      </c>
      <c r="AL50" s="77">
        <v>1</v>
      </c>
      <c r="AM50" s="77">
        <v>1</v>
      </c>
      <c r="AN50" s="76">
        <v>0</v>
      </c>
      <c r="AO50" s="76">
        <v>0</v>
      </c>
      <c r="AP50" s="79">
        <v>3</v>
      </c>
      <c r="AQ50" s="76">
        <v>0</v>
      </c>
      <c r="AR50" s="80">
        <v>4</v>
      </c>
      <c r="AS50" s="77">
        <v>1</v>
      </c>
      <c r="AT50" s="76">
        <v>0</v>
      </c>
      <c r="AU50" s="76">
        <v>0</v>
      </c>
      <c r="AV50" s="76">
        <v>0</v>
      </c>
      <c r="AW50" s="76">
        <v>0</v>
      </c>
      <c r="AX50" s="76">
        <v>0</v>
      </c>
      <c r="AY50" s="76">
        <v>0</v>
      </c>
      <c r="AZ50" s="76">
        <v>0</v>
      </c>
      <c r="BA50" s="76">
        <v>0</v>
      </c>
      <c r="BB50" s="76">
        <v>0</v>
      </c>
    </row>
    <row r="51" spans="8:54"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77">
        <v>1</v>
      </c>
      <c r="T51" s="76">
        <v>0</v>
      </c>
      <c r="U51" s="76">
        <v>0</v>
      </c>
      <c r="V51" s="76">
        <v>0</v>
      </c>
      <c r="W51" s="76">
        <v>0</v>
      </c>
      <c r="X51" s="76">
        <v>0</v>
      </c>
      <c r="Y51" s="76">
        <v>0</v>
      </c>
      <c r="Z51" s="76">
        <v>0</v>
      </c>
      <c r="AA51" s="81">
        <v>5</v>
      </c>
      <c r="AB51" s="76">
        <v>0</v>
      </c>
      <c r="AC51" s="80">
        <v>4</v>
      </c>
      <c r="AD51" s="76">
        <v>0</v>
      </c>
      <c r="AE51" s="76">
        <v>0</v>
      </c>
      <c r="AF51" s="76">
        <v>0</v>
      </c>
      <c r="AG51" s="76">
        <v>0</v>
      </c>
      <c r="AH51" s="76">
        <v>0</v>
      </c>
      <c r="AI51" s="76">
        <v>0</v>
      </c>
      <c r="AJ51" s="76">
        <v>0</v>
      </c>
      <c r="AK51" s="76">
        <v>0</v>
      </c>
      <c r="AL51" s="77">
        <v>1</v>
      </c>
      <c r="AM51" s="76">
        <v>0</v>
      </c>
      <c r="AN51" s="76">
        <v>0</v>
      </c>
      <c r="AO51" s="76">
        <v>0</v>
      </c>
      <c r="AP51" s="76">
        <v>0</v>
      </c>
      <c r="AQ51" s="76">
        <v>0</v>
      </c>
      <c r="AR51" s="76">
        <v>0</v>
      </c>
      <c r="AS51" s="76">
        <v>0</v>
      </c>
      <c r="AT51" s="76">
        <v>0</v>
      </c>
      <c r="AU51" s="76">
        <v>0</v>
      </c>
      <c r="AV51" s="76">
        <v>0</v>
      </c>
      <c r="AW51" s="76">
        <v>0</v>
      </c>
      <c r="AX51" s="76">
        <v>0</v>
      </c>
      <c r="AY51" s="76">
        <v>0</v>
      </c>
      <c r="AZ51" s="76">
        <v>0</v>
      </c>
      <c r="BA51" s="77">
        <v>1</v>
      </c>
      <c r="BB51" s="76">
        <v>0</v>
      </c>
    </row>
    <row r="52" spans="8:54"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7">
        <v>1</v>
      </c>
      <c r="W52" s="76">
        <v>0</v>
      </c>
      <c r="X52" s="76">
        <v>0</v>
      </c>
      <c r="Y52" s="76">
        <v>0</v>
      </c>
      <c r="Z52" s="77">
        <v>1</v>
      </c>
      <c r="AA52" s="82">
        <v>6</v>
      </c>
      <c r="AB52" s="77">
        <v>1</v>
      </c>
      <c r="AC52" s="80">
        <v>4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7">
        <v>1</v>
      </c>
      <c r="AL52" s="77">
        <v>1</v>
      </c>
      <c r="AM52" s="76">
        <v>0</v>
      </c>
      <c r="AN52" s="76">
        <v>0</v>
      </c>
      <c r="AO52" s="76">
        <v>0</v>
      </c>
      <c r="AP52" s="76">
        <v>0</v>
      </c>
      <c r="AQ52" s="76">
        <v>0</v>
      </c>
      <c r="AR52" s="77">
        <v>1</v>
      </c>
      <c r="AS52" s="77">
        <v>1</v>
      </c>
      <c r="AT52" s="76">
        <v>0</v>
      </c>
      <c r="AU52" s="76">
        <v>0</v>
      </c>
      <c r="AV52" s="76">
        <v>0</v>
      </c>
      <c r="AW52" s="76">
        <v>0</v>
      </c>
      <c r="AX52" s="76">
        <v>0</v>
      </c>
      <c r="AY52" s="76">
        <v>0</v>
      </c>
      <c r="AZ52" s="76">
        <v>0</v>
      </c>
      <c r="BA52" s="77">
        <v>1</v>
      </c>
      <c r="BB52" s="76">
        <v>0</v>
      </c>
    </row>
    <row r="53" spans="8:54"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8">
        <v>2</v>
      </c>
      <c r="AB53" s="78">
        <v>2</v>
      </c>
      <c r="AC53" s="77">
        <v>1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7">
        <v>1</v>
      </c>
      <c r="AJ53" s="76">
        <v>0</v>
      </c>
      <c r="AK53" s="76">
        <v>0</v>
      </c>
      <c r="AL53" s="76">
        <v>0</v>
      </c>
      <c r="AM53" s="76">
        <v>0</v>
      </c>
      <c r="AN53" s="76">
        <v>0</v>
      </c>
      <c r="AO53" s="76">
        <v>0</v>
      </c>
      <c r="AP53" s="76">
        <v>0</v>
      </c>
      <c r="AQ53" s="76">
        <v>0</v>
      </c>
      <c r="AR53" s="76">
        <v>0</v>
      </c>
      <c r="AS53" s="76">
        <v>0</v>
      </c>
      <c r="AT53" s="77">
        <v>1</v>
      </c>
      <c r="AU53" s="76">
        <v>0</v>
      </c>
      <c r="AV53" s="76">
        <v>0</v>
      </c>
      <c r="AW53" s="76">
        <v>0</v>
      </c>
      <c r="AX53" s="76">
        <v>0</v>
      </c>
      <c r="AY53" s="76">
        <v>0</v>
      </c>
      <c r="AZ53" s="76">
        <v>0</v>
      </c>
      <c r="BA53" s="76">
        <v>0</v>
      </c>
      <c r="BB53" s="76">
        <v>0</v>
      </c>
    </row>
    <row r="54" spans="8:54"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8">
        <v>2</v>
      </c>
      <c r="AB54" s="78">
        <v>2</v>
      </c>
      <c r="AC54" s="77">
        <v>1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7">
        <v>1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7">
        <v>1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</row>
    <row r="55" spans="8:54">
      <c r="H55" s="76">
        <v>0</v>
      </c>
      <c r="I55" s="76">
        <v>0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8">
        <v>2</v>
      </c>
      <c r="AB55" s="78">
        <v>2</v>
      </c>
      <c r="AC55" s="77">
        <v>1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7">
        <v>1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7">
        <v>1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</row>
    <row r="56" spans="8:54">
      <c r="H56" s="76">
        <v>0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7">
        <v>1</v>
      </c>
      <c r="AB56" s="77">
        <v>1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7">
        <v>1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</row>
    <row r="57" spans="8:54"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7">
        <v>1</v>
      </c>
      <c r="AA57" s="77">
        <v>1</v>
      </c>
      <c r="AB57" s="78">
        <v>2</v>
      </c>
      <c r="AC57" s="77">
        <v>1</v>
      </c>
      <c r="AD57" s="77">
        <v>1</v>
      </c>
      <c r="AE57" s="76">
        <v>0</v>
      </c>
      <c r="AF57" s="76">
        <v>0</v>
      </c>
      <c r="AG57" s="76">
        <v>0</v>
      </c>
      <c r="AH57" s="76">
        <v>0</v>
      </c>
      <c r="AI57" s="77">
        <v>1</v>
      </c>
      <c r="AJ57" s="76">
        <v>0</v>
      </c>
      <c r="AK57" s="77">
        <v>1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7">
        <v>1</v>
      </c>
      <c r="AS57" s="76">
        <v>0</v>
      </c>
      <c r="AT57" s="76"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</row>
    <row r="58" spans="8:54"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7">
        <v>1</v>
      </c>
      <c r="Q58" s="76">
        <v>0</v>
      </c>
      <c r="R58" s="76">
        <v>0</v>
      </c>
      <c r="S58" s="77">
        <v>1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7">
        <v>1</v>
      </c>
      <c r="AB58" s="78">
        <v>2</v>
      </c>
      <c r="AC58" s="76">
        <v>0</v>
      </c>
      <c r="AD58" s="77">
        <v>1</v>
      </c>
      <c r="AE58" s="76">
        <v>0</v>
      </c>
      <c r="AF58" s="77">
        <v>1</v>
      </c>
      <c r="AG58" s="76">
        <v>0</v>
      </c>
      <c r="AH58" s="76">
        <v>0</v>
      </c>
      <c r="AI58" s="77">
        <v>1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7">
        <v>1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</row>
    <row r="59" spans="8:54"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7">
        <v>1</v>
      </c>
      <c r="AB59" s="77">
        <v>1</v>
      </c>
      <c r="AC59" s="77">
        <v>1</v>
      </c>
      <c r="AD59" s="77">
        <v>1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7">
        <v>1</v>
      </c>
      <c r="AL59" s="76">
        <v>0</v>
      </c>
      <c r="AM59" s="77">
        <v>1</v>
      </c>
      <c r="AN59" s="76">
        <v>0</v>
      </c>
      <c r="AO59" s="76">
        <v>0</v>
      </c>
      <c r="AP59" s="76">
        <v>0</v>
      </c>
      <c r="AQ59" s="76">
        <v>0</v>
      </c>
      <c r="AR59" s="76">
        <v>0</v>
      </c>
      <c r="AS59" s="76">
        <v>0</v>
      </c>
      <c r="AT59" s="76">
        <v>0</v>
      </c>
      <c r="AU59" s="76">
        <v>0</v>
      </c>
      <c r="AV59" s="76">
        <v>0</v>
      </c>
      <c r="AW59" s="76">
        <v>0</v>
      </c>
      <c r="AX59" s="76">
        <v>0</v>
      </c>
      <c r="AY59" s="76">
        <v>0</v>
      </c>
      <c r="AZ59" s="77">
        <v>1</v>
      </c>
      <c r="BA59" s="77">
        <v>1</v>
      </c>
      <c r="BB59" s="76">
        <v>0</v>
      </c>
    </row>
    <row r="60" spans="8:54"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  <c r="T60" s="76">
        <v>0</v>
      </c>
      <c r="U60" s="76">
        <v>0</v>
      </c>
      <c r="V60" s="76">
        <v>0</v>
      </c>
      <c r="W60" s="76">
        <v>0</v>
      </c>
      <c r="X60" s="76">
        <v>0</v>
      </c>
      <c r="Y60" s="76">
        <v>0</v>
      </c>
      <c r="Z60" s="76">
        <v>0</v>
      </c>
      <c r="AA60" s="77">
        <v>1</v>
      </c>
      <c r="AB60" s="77">
        <v>1</v>
      </c>
      <c r="AC60" s="77">
        <v>1</v>
      </c>
      <c r="AD60" s="77">
        <v>1</v>
      </c>
      <c r="AE60" s="76">
        <v>0</v>
      </c>
      <c r="AF60" s="76">
        <v>0</v>
      </c>
      <c r="AG60" s="76">
        <v>0</v>
      </c>
      <c r="AH60" s="76">
        <v>0</v>
      </c>
      <c r="AI60" s="76">
        <v>0</v>
      </c>
      <c r="AJ60" s="76">
        <v>0</v>
      </c>
      <c r="AK60" s="77">
        <v>1</v>
      </c>
      <c r="AL60" s="76">
        <v>0</v>
      </c>
      <c r="AM60" s="76">
        <v>0</v>
      </c>
      <c r="AN60" s="76">
        <v>0</v>
      </c>
      <c r="AO60" s="76">
        <v>0</v>
      </c>
      <c r="AP60" s="76">
        <v>0</v>
      </c>
      <c r="AQ60" s="76">
        <v>0</v>
      </c>
      <c r="AR60" s="76">
        <v>0</v>
      </c>
      <c r="AS60" s="76">
        <v>0</v>
      </c>
      <c r="AT60" s="76">
        <v>0</v>
      </c>
      <c r="AU60" s="76">
        <v>0</v>
      </c>
      <c r="AV60" s="76">
        <v>0</v>
      </c>
      <c r="AW60" s="76">
        <v>0</v>
      </c>
      <c r="AX60" s="76">
        <v>0</v>
      </c>
      <c r="AY60" s="76">
        <v>0</v>
      </c>
      <c r="AZ60" s="77">
        <v>1</v>
      </c>
      <c r="BA60" s="77">
        <v>1</v>
      </c>
      <c r="BB60" s="76">
        <v>0</v>
      </c>
    </row>
    <row r="61" spans="8:54"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  <c r="T61" s="76">
        <v>0</v>
      </c>
      <c r="U61" s="76">
        <v>0</v>
      </c>
      <c r="V61" s="76">
        <v>0</v>
      </c>
      <c r="W61" s="76">
        <v>0</v>
      </c>
      <c r="X61" s="76">
        <v>0</v>
      </c>
      <c r="Y61" s="76">
        <v>0</v>
      </c>
      <c r="Z61" s="76">
        <v>0</v>
      </c>
      <c r="AA61" s="77">
        <v>1</v>
      </c>
      <c r="AB61" s="77">
        <v>1</v>
      </c>
      <c r="AC61" s="77">
        <v>1</v>
      </c>
      <c r="AD61" s="76">
        <v>0</v>
      </c>
      <c r="AE61" s="76">
        <v>0</v>
      </c>
      <c r="AF61" s="76">
        <v>0</v>
      </c>
      <c r="AG61" s="76">
        <v>0</v>
      </c>
      <c r="AH61" s="76">
        <v>0</v>
      </c>
      <c r="AI61" s="79">
        <v>3</v>
      </c>
      <c r="AJ61" s="76">
        <v>0</v>
      </c>
      <c r="AK61" s="76">
        <v>0</v>
      </c>
      <c r="AL61" s="78">
        <v>2</v>
      </c>
      <c r="AM61" s="76">
        <v>0</v>
      </c>
      <c r="AN61" s="76">
        <v>0</v>
      </c>
      <c r="AO61" s="76">
        <v>0</v>
      </c>
      <c r="AP61" s="76">
        <v>0</v>
      </c>
      <c r="AQ61" s="76">
        <v>0</v>
      </c>
      <c r="AR61" s="77">
        <v>1</v>
      </c>
      <c r="AS61" s="76">
        <v>0</v>
      </c>
      <c r="AT61" s="80">
        <v>4</v>
      </c>
      <c r="AU61" s="76">
        <v>0</v>
      </c>
      <c r="AV61" s="76">
        <v>0</v>
      </c>
      <c r="AW61" s="76">
        <v>0</v>
      </c>
      <c r="AX61" s="77">
        <v>1</v>
      </c>
      <c r="AY61" s="76">
        <v>0</v>
      </c>
      <c r="AZ61" s="76">
        <v>0</v>
      </c>
      <c r="BA61" s="76">
        <v>0</v>
      </c>
      <c r="BB61" s="76">
        <v>0</v>
      </c>
    </row>
    <row r="62" spans="8:54"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7">
        <v>1</v>
      </c>
      <c r="T62" s="76">
        <v>0</v>
      </c>
      <c r="U62" s="76">
        <v>0</v>
      </c>
      <c r="V62" s="76">
        <v>0</v>
      </c>
      <c r="W62" s="76">
        <v>0</v>
      </c>
      <c r="X62" s="76">
        <v>0</v>
      </c>
      <c r="Y62" s="76">
        <v>0</v>
      </c>
      <c r="Z62" s="76">
        <v>0</v>
      </c>
      <c r="AA62" s="76">
        <v>0</v>
      </c>
      <c r="AB62" s="77">
        <v>1</v>
      </c>
      <c r="AC62" s="77">
        <v>1</v>
      </c>
      <c r="AD62" s="76">
        <v>0</v>
      </c>
      <c r="AE62" s="76">
        <v>0</v>
      </c>
      <c r="AF62" s="76">
        <v>0</v>
      </c>
      <c r="AG62" s="76">
        <v>0</v>
      </c>
      <c r="AH62" s="76">
        <v>0</v>
      </c>
      <c r="AI62" s="80">
        <v>4</v>
      </c>
      <c r="AJ62" s="76">
        <v>0</v>
      </c>
      <c r="AK62" s="76">
        <v>0</v>
      </c>
      <c r="AL62" s="76">
        <v>0</v>
      </c>
      <c r="AM62" s="76">
        <v>0</v>
      </c>
      <c r="AN62" s="76">
        <v>0</v>
      </c>
      <c r="AO62" s="76">
        <v>0</v>
      </c>
      <c r="AP62" s="76">
        <v>0</v>
      </c>
      <c r="AQ62" s="76">
        <v>0</v>
      </c>
      <c r="AR62" s="76">
        <v>0</v>
      </c>
      <c r="AS62" s="76">
        <v>0</v>
      </c>
      <c r="AT62" s="80">
        <v>4</v>
      </c>
      <c r="AU62" s="76">
        <v>0</v>
      </c>
      <c r="AV62" s="76">
        <v>0</v>
      </c>
      <c r="AW62" s="76">
        <v>0</v>
      </c>
      <c r="AX62" s="76">
        <v>0</v>
      </c>
      <c r="AY62" s="76">
        <v>0</v>
      </c>
      <c r="AZ62" s="76">
        <v>0</v>
      </c>
      <c r="BA62" s="76">
        <v>0</v>
      </c>
      <c r="BB62" s="76">
        <v>0</v>
      </c>
    </row>
    <row r="63" spans="8:54"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7">
        <v>1</v>
      </c>
      <c r="Q63" s="76">
        <v>0</v>
      </c>
      <c r="R63" s="76">
        <v>0</v>
      </c>
      <c r="S63" s="77">
        <v>1</v>
      </c>
      <c r="T63" s="76">
        <v>0</v>
      </c>
      <c r="U63" s="76">
        <v>0</v>
      </c>
      <c r="V63" s="76">
        <v>0</v>
      </c>
      <c r="W63" s="76">
        <v>0</v>
      </c>
      <c r="X63" s="76">
        <v>0</v>
      </c>
      <c r="Y63" s="76">
        <v>0</v>
      </c>
      <c r="Z63" s="76">
        <v>0</v>
      </c>
      <c r="AA63" s="76">
        <v>0</v>
      </c>
      <c r="AB63" s="77">
        <v>1</v>
      </c>
      <c r="AC63" s="76">
        <v>0</v>
      </c>
      <c r="AD63" s="76">
        <v>0</v>
      </c>
      <c r="AE63" s="76">
        <v>0</v>
      </c>
      <c r="AF63" s="77">
        <v>1</v>
      </c>
      <c r="AG63" s="77">
        <v>1</v>
      </c>
      <c r="AH63" s="76">
        <v>0</v>
      </c>
      <c r="AI63" s="80">
        <v>4</v>
      </c>
      <c r="AJ63" s="76">
        <v>0</v>
      </c>
      <c r="AK63" s="76">
        <v>0</v>
      </c>
      <c r="AL63" s="77">
        <v>1</v>
      </c>
      <c r="AM63" s="76">
        <v>0</v>
      </c>
      <c r="AN63" s="76">
        <v>0</v>
      </c>
      <c r="AO63" s="76">
        <v>0</v>
      </c>
      <c r="AP63" s="76">
        <v>0</v>
      </c>
      <c r="AQ63" s="76">
        <v>0</v>
      </c>
      <c r="AR63" s="76">
        <v>0</v>
      </c>
      <c r="AS63" s="76">
        <v>0</v>
      </c>
      <c r="AT63" s="79">
        <v>3</v>
      </c>
      <c r="AU63" s="77">
        <v>1</v>
      </c>
      <c r="AV63" s="76">
        <v>0</v>
      </c>
      <c r="AW63" s="76">
        <v>0</v>
      </c>
      <c r="AX63" s="76">
        <v>0</v>
      </c>
      <c r="AY63" s="76">
        <v>0</v>
      </c>
      <c r="AZ63" s="76">
        <v>0</v>
      </c>
      <c r="BA63" s="76">
        <v>0</v>
      </c>
      <c r="BB63" s="76">
        <v>0</v>
      </c>
    </row>
    <row r="64" spans="8:54"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  <c r="T64" s="76">
        <v>0</v>
      </c>
      <c r="U64" s="76">
        <v>0</v>
      </c>
      <c r="V64" s="76">
        <v>0</v>
      </c>
      <c r="W64" s="76">
        <v>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AC64" s="77">
        <v>1</v>
      </c>
      <c r="AD64" s="77">
        <v>1</v>
      </c>
      <c r="AE64" s="76">
        <v>0</v>
      </c>
      <c r="AF64" s="76">
        <v>0</v>
      </c>
      <c r="AG64" s="76">
        <v>0</v>
      </c>
      <c r="AH64" s="76">
        <v>0</v>
      </c>
      <c r="AI64" s="76">
        <v>0</v>
      </c>
      <c r="AJ64" s="76">
        <v>0</v>
      </c>
      <c r="AK64" s="76">
        <v>0</v>
      </c>
      <c r="AL64" s="76">
        <v>0</v>
      </c>
      <c r="AM64" s="76">
        <v>0</v>
      </c>
      <c r="AN64" s="76">
        <v>0</v>
      </c>
      <c r="AO64" s="76">
        <v>0</v>
      </c>
      <c r="AP64" s="76">
        <v>0</v>
      </c>
      <c r="AQ64" s="76">
        <v>0</v>
      </c>
      <c r="AR64" s="77">
        <v>1</v>
      </c>
      <c r="AS64" s="76">
        <v>0</v>
      </c>
      <c r="AT64" s="76">
        <v>0</v>
      </c>
      <c r="AU64" s="76">
        <v>0</v>
      </c>
      <c r="AV64" s="76">
        <v>0</v>
      </c>
      <c r="AW64" s="76">
        <v>0</v>
      </c>
      <c r="AX64" s="76">
        <v>0</v>
      </c>
      <c r="AY64" s="76">
        <v>0</v>
      </c>
      <c r="AZ64" s="76">
        <v>0</v>
      </c>
      <c r="BA64" s="76">
        <v>0</v>
      </c>
      <c r="BB64" s="76">
        <v>0</v>
      </c>
    </row>
    <row r="65" spans="8:54"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  <c r="T65" s="76">
        <v>0</v>
      </c>
      <c r="U65" s="76">
        <v>0</v>
      </c>
      <c r="V65" s="76">
        <v>0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7">
        <v>1</v>
      </c>
      <c r="AD65" s="76">
        <v>0</v>
      </c>
      <c r="AE65" s="76">
        <v>0</v>
      </c>
      <c r="AF65" s="76">
        <v>0</v>
      </c>
      <c r="AG65" s="76">
        <v>0</v>
      </c>
      <c r="AH65" s="76">
        <v>0</v>
      </c>
      <c r="AI65" s="76">
        <v>0</v>
      </c>
      <c r="AJ65" s="76">
        <v>0</v>
      </c>
      <c r="AK65" s="76">
        <v>0</v>
      </c>
      <c r="AL65" s="76">
        <v>0</v>
      </c>
      <c r="AM65" s="76">
        <v>0</v>
      </c>
      <c r="AN65" s="76">
        <v>0</v>
      </c>
      <c r="AO65" s="76">
        <v>0</v>
      </c>
      <c r="AP65" s="76">
        <v>0</v>
      </c>
      <c r="AQ65" s="76">
        <v>0</v>
      </c>
      <c r="AR65" s="77">
        <v>1</v>
      </c>
      <c r="AS65" s="76">
        <v>0</v>
      </c>
      <c r="AT65" s="76">
        <v>0</v>
      </c>
      <c r="AU65" s="76">
        <v>0</v>
      </c>
      <c r="AV65" s="76">
        <v>0</v>
      </c>
      <c r="AW65" s="76">
        <v>0</v>
      </c>
      <c r="AX65" s="77">
        <v>1</v>
      </c>
      <c r="AY65" s="76">
        <v>0</v>
      </c>
      <c r="AZ65" s="76">
        <v>0</v>
      </c>
      <c r="BA65" s="76">
        <v>0</v>
      </c>
      <c r="BB65" s="76">
        <v>0</v>
      </c>
    </row>
    <row r="66" spans="8:54"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  <c r="T66" s="76">
        <v>0</v>
      </c>
      <c r="U66" s="76">
        <v>0</v>
      </c>
      <c r="V66" s="76">
        <v>0</v>
      </c>
      <c r="W66" s="76">
        <v>0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AC66" s="77">
        <v>1</v>
      </c>
      <c r="AD66" s="76">
        <v>0</v>
      </c>
      <c r="AE66" s="76">
        <v>0</v>
      </c>
      <c r="AF66" s="76">
        <v>0</v>
      </c>
      <c r="AG66" s="76">
        <v>0</v>
      </c>
      <c r="AH66" s="76">
        <v>0</v>
      </c>
      <c r="AI66" s="76">
        <v>0</v>
      </c>
      <c r="AJ66" s="76">
        <v>0</v>
      </c>
      <c r="AK66" s="76">
        <v>0</v>
      </c>
      <c r="AL66" s="76">
        <v>0</v>
      </c>
      <c r="AM66" s="76">
        <v>0</v>
      </c>
      <c r="AN66" s="76">
        <v>0</v>
      </c>
      <c r="AO66" s="76">
        <v>0</v>
      </c>
      <c r="AP66" s="76">
        <v>0</v>
      </c>
      <c r="AQ66" s="76">
        <v>0</v>
      </c>
      <c r="AR66" s="77">
        <v>1</v>
      </c>
      <c r="AS66" s="77">
        <v>1</v>
      </c>
      <c r="AT66" s="76">
        <v>0</v>
      </c>
      <c r="AU66" s="76">
        <v>0</v>
      </c>
      <c r="AV66" s="76">
        <v>0</v>
      </c>
      <c r="AW66" s="76">
        <v>0</v>
      </c>
      <c r="AX66" s="77">
        <v>1</v>
      </c>
      <c r="AY66" s="76">
        <v>0</v>
      </c>
      <c r="AZ66" s="76">
        <v>0</v>
      </c>
      <c r="BA66" s="76">
        <v>0</v>
      </c>
      <c r="BB66" s="76">
        <v>0</v>
      </c>
    </row>
    <row r="67" spans="8:54"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7">
        <v>1</v>
      </c>
      <c r="AD67" s="76">
        <v>0</v>
      </c>
      <c r="AE67" s="76">
        <v>0</v>
      </c>
      <c r="AF67" s="76"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76">
        <v>0</v>
      </c>
      <c r="AO67" s="76">
        <v>0</v>
      </c>
      <c r="AP67" s="76">
        <v>0</v>
      </c>
      <c r="AQ67" s="76">
        <v>0</v>
      </c>
      <c r="AR67" s="76">
        <v>0</v>
      </c>
      <c r="AS67" s="77">
        <v>1</v>
      </c>
      <c r="AT67" s="76">
        <v>0</v>
      </c>
      <c r="AU67" s="76">
        <v>0</v>
      </c>
      <c r="AV67" s="76">
        <v>0</v>
      </c>
      <c r="AW67" s="76">
        <v>0</v>
      </c>
      <c r="AX67" s="77">
        <v>1</v>
      </c>
      <c r="AY67" s="76">
        <v>0</v>
      </c>
      <c r="AZ67" s="76">
        <v>0</v>
      </c>
      <c r="BA67" s="76">
        <v>0</v>
      </c>
      <c r="BB67" s="76">
        <v>0</v>
      </c>
    </row>
    <row r="68" spans="8:54"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  <c r="T68" s="76">
        <v>0</v>
      </c>
      <c r="U68" s="76">
        <v>0</v>
      </c>
      <c r="V68" s="76">
        <v>0</v>
      </c>
      <c r="W68" s="76">
        <v>0</v>
      </c>
      <c r="X68" s="76">
        <v>0</v>
      </c>
      <c r="Y68" s="76">
        <v>0</v>
      </c>
      <c r="Z68" s="76">
        <v>0</v>
      </c>
      <c r="AA68" s="76">
        <v>0</v>
      </c>
      <c r="AB68" s="77">
        <v>1</v>
      </c>
      <c r="AC68" s="76">
        <v>0</v>
      </c>
      <c r="AD68" s="77">
        <v>1</v>
      </c>
      <c r="AE68" s="76">
        <v>0</v>
      </c>
      <c r="AF68" s="76">
        <v>0</v>
      </c>
      <c r="AG68" s="76">
        <v>0</v>
      </c>
      <c r="AH68" s="76">
        <v>0</v>
      </c>
      <c r="AI68" s="79">
        <v>3</v>
      </c>
      <c r="AJ68" s="76">
        <v>0</v>
      </c>
      <c r="AK68" s="77">
        <v>1</v>
      </c>
      <c r="AL68" s="77">
        <v>1</v>
      </c>
      <c r="AM68" s="77">
        <v>1</v>
      </c>
      <c r="AN68" s="76">
        <v>0</v>
      </c>
      <c r="AO68" s="76">
        <v>0</v>
      </c>
      <c r="AP68" s="79">
        <v>3</v>
      </c>
      <c r="AQ68" s="76">
        <v>0</v>
      </c>
      <c r="AR68" s="76">
        <v>0</v>
      </c>
      <c r="AS68" s="77">
        <v>1</v>
      </c>
      <c r="AT68" s="79">
        <v>3</v>
      </c>
      <c r="AU68" s="76">
        <v>0</v>
      </c>
      <c r="AV68" s="76">
        <v>0</v>
      </c>
      <c r="AW68" s="76">
        <v>0</v>
      </c>
      <c r="AX68" s="76">
        <v>0</v>
      </c>
      <c r="AY68" s="76">
        <v>0</v>
      </c>
      <c r="AZ68" s="77">
        <v>1</v>
      </c>
      <c r="BA68" s="77">
        <v>1</v>
      </c>
      <c r="BB68" s="76">
        <v>0</v>
      </c>
    </row>
    <row r="69" spans="8:54"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  <c r="T69" s="76">
        <v>0</v>
      </c>
      <c r="U69" s="76">
        <v>0</v>
      </c>
      <c r="V69" s="76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7">
        <v>1</v>
      </c>
      <c r="AC69" s="76">
        <v>0</v>
      </c>
      <c r="AD69" s="76">
        <v>0</v>
      </c>
      <c r="AE69" s="76">
        <v>0</v>
      </c>
      <c r="AF69" s="76">
        <v>0</v>
      </c>
      <c r="AG69" s="76">
        <v>0</v>
      </c>
      <c r="AH69" s="76">
        <v>0</v>
      </c>
      <c r="AI69" s="79">
        <v>3</v>
      </c>
      <c r="AJ69" s="76">
        <v>0</v>
      </c>
      <c r="AK69" s="76">
        <v>0</v>
      </c>
      <c r="AL69" s="76">
        <v>0</v>
      </c>
      <c r="AM69" s="76">
        <v>0</v>
      </c>
      <c r="AN69" s="76">
        <v>0</v>
      </c>
      <c r="AO69" s="76">
        <v>0</v>
      </c>
      <c r="AP69" s="79">
        <v>3</v>
      </c>
      <c r="AQ69" s="76">
        <v>0</v>
      </c>
      <c r="AR69" s="77">
        <v>1</v>
      </c>
      <c r="AS69" s="76">
        <v>0</v>
      </c>
      <c r="AT69" s="79">
        <v>3</v>
      </c>
      <c r="AU69" s="76">
        <v>0</v>
      </c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</row>
    <row r="70" spans="8:54"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  <c r="T70" s="77">
        <v>1</v>
      </c>
      <c r="U70" s="82">
        <v>6</v>
      </c>
      <c r="V70" s="78">
        <v>2</v>
      </c>
      <c r="W70" s="78">
        <v>2</v>
      </c>
      <c r="X70" s="77">
        <v>1</v>
      </c>
      <c r="Y70" s="76">
        <v>0</v>
      </c>
      <c r="Z70" s="78">
        <v>2</v>
      </c>
      <c r="AA70" s="76">
        <v>0</v>
      </c>
      <c r="AB70" s="76">
        <v>0</v>
      </c>
      <c r="AC70" s="76">
        <v>0</v>
      </c>
      <c r="AD70" s="77">
        <v>1</v>
      </c>
      <c r="AE70" s="76">
        <v>0</v>
      </c>
      <c r="AF70" s="76">
        <v>0</v>
      </c>
      <c r="AG70" s="76">
        <v>0</v>
      </c>
      <c r="AH70" s="76">
        <v>0</v>
      </c>
      <c r="AI70" s="76">
        <v>0</v>
      </c>
      <c r="AJ70" s="76">
        <v>0</v>
      </c>
      <c r="AK70" s="77">
        <v>1</v>
      </c>
      <c r="AL70" s="76">
        <v>0</v>
      </c>
      <c r="AM70" s="76">
        <v>0</v>
      </c>
      <c r="AN70" s="76">
        <v>0</v>
      </c>
      <c r="AO70" s="76">
        <v>0</v>
      </c>
      <c r="AP70" s="80">
        <v>4</v>
      </c>
      <c r="AQ70" s="76">
        <v>0</v>
      </c>
      <c r="AR70" s="76">
        <v>0</v>
      </c>
      <c r="AS70" s="77">
        <v>1</v>
      </c>
      <c r="AT70" s="77">
        <v>1</v>
      </c>
      <c r="AU70" s="76">
        <v>0</v>
      </c>
      <c r="AV70" s="76">
        <v>0</v>
      </c>
      <c r="AW70" s="77">
        <v>1</v>
      </c>
      <c r="AX70" s="76">
        <v>0</v>
      </c>
      <c r="AY70" s="77">
        <v>1</v>
      </c>
      <c r="AZ70" s="76">
        <v>0</v>
      </c>
      <c r="BA70" s="76">
        <v>0</v>
      </c>
      <c r="BB70" s="76">
        <v>0</v>
      </c>
    </row>
    <row r="71" spans="8:54"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0</v>
      </c>
      <c r="P71" s="76">
        <v>0</v>
      </c>
      <c r="Q71" s="76">
        <v>0</v>
      </c>
      <c r="R71" s="76">
        <v>0</v>
      </c>
      <c r="S71" s="76">
        <v>0</v>
      </c>
      <c r="T71" s="77">
        <v>1</v>
      </c>
      <c r="U71" s="82">
        <v>6</v>
      </c>
      <c r="V71" s="78">
        <v>2</v>
      </c>
      <c r="W71" s="78">
        <v>2</v>
      </c>
      <c r="X71" s="77">
        <v>1</v>
      </c>
      <c r="Y71" s="76">
        <v>0</v>
      </c>
      <c r="Z71" s="78">
        <v>2</v>
      </c>
      <c r="AA71" s="76">
        <v>0</v>
      </c>
      <c r="AB71" s="76">
        <v>0</v>
      </c>
      <c r="AC71" s="76">
        <v>0</v>
      </c>
      <c r="AD71" s="77">
        <v>1</v>
      </c>
      <c r="AE71" s="76">
        <v>0</v>
      </c>
      <c r="AF71" s="76">
        <v>0</v>
      </c>
      <c r="AG71" s="76">
        <v>0</v>
      </c>
      <c r="AH71" s="76">
        <v>0</v>
      </c>
      <c r="AI71" s="76">
        <v>0</v>
      </c>
      <c r="AJ71" s="76">
        <v>0</v>
      </c>
      <c r="AK71" s="76">
        <v>0</v>
      </c>
      <c r="AL71" s="76">
        <v>0</v>
      </c>
      <c r="AM71" s="76">
        <v>0</v>
      </c>
      <c r="AN71" s="76">
        <v>0</v>
      </c>
      <c r="AO71" s="76">
        <v>0</v>
      </c>
      <c r="AP71" s="80">
        <v>4</v>
      </c>
      <c r="AQ71" s="76">
        <v>0</v>
      </c>
      <c r="AR71" s="76">
        <v>0</v>
      </c>
      <c r="AS71" s="77">
        <v>1</v>
      </c>
      <c r="AT71" s="76">
        <v>0</v>
      </c>
      <c r="AU71" s="76">
        <v>0</v>
      </c>
      <c r="AV71" s="76">
        <v>0</v>
      </c>
      <c r="AW71" s="77">
        <v>1</v>
      </c>
      <c r="AX71" s="76">
        <v>0</v>
      </c>
      <c r="AY71" s="76">
        <v>0</v>
      </c>
      <c r="AZ71" s="76">
        <v>0</v>
      </c>
      <c r="BA71" s="76">
        <v>0</v>
      </c>
      <c r="BB71" s="76">
        <v>0</v>
      </c>
    </row>
    <row r="72" spans="8:54"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6">
        <v>0</v>
      </c>
      <c r="S72" s="76">
        <v>0</v>
      </c>
      <c r="T72" s="77">
        <v>1</v>
      </c>
      <c r="U72" s="79">
        <v>3</v>
      </c>
      <c r="V72" s="78">
        <v>2</v>
      </c>
      <c r="W72" s="77">
        <v>1</v>
      </c>
      <c r="X72" s="76">
        <v>0</v>
      </c>
      <c r="Y72" s="76">
        <v>0</v>
      </c>
      <c r="Z72" s="78">
        <v>2</v>
      </c>
      <c r="AA72" s="76">
        <v>0</v>
      </c>
      <c r="AB72" s="76">
        <v>0</v>
      </c>
      <c r="AC72" s="76">
        <v>0</v>
      </c>
      <c r="AD72" s="77">
        <v>1</v>
      </c>
      <c r="AE72" s="76">
        <v>0</v>
      </c>
      <c r="AF72" s="76">
        <v>0</v>
      </c>
      <c r="AG72" s="76">
        <v>0</v>
      </c>
      <c r="AH72" s="76">
        <v>0</v>
      </c>
      <c r="AI72" s="76">
        <v>0</v>
      </c>
      <c r="AJ72" s="76">
        <v>0</v>
      </c>
      <c r="AK72" s="76">
        <v>0</v>
      </c>
      <c r="AL72" s="76">
        <v>0</v>
      </c>
      <c r="AM72" s="76">
        <v>0</v>
      </c>
      <c r="AN72" s="76">
        <v>0</v>
      </c>
      <c r="AO72" s="76">
        <v>0</v>
      </c>
      <c r="AP72" s="80">
        <v>4</v>
      </c>
      <c r="AQ72" s="76">
        <v>0</v>
      </c>
      <c r="AR72" s="76">
        <v>0</v>
      </c>
      <c r="AS72" s="77">
        <v>1</v>
      </c>
      <c r="AT72" s="76">
        <v>0</v>
      </c>
      <c r="AU72" s="76">
        <v>0</v>
      </c>
      <c r="AV72" s="76">
        <v>0</v>
      </c>
      <c r="AW72" s="76">
        <v>0</v>
      </c>
      <c r="AX72" s="76">
        <v>0</v>
      </c>
      <c r="AY72" s="76">
        <v>0</v>
      </c>
      <c r="AZ72" s="76">
        <v>0</v>
      </c>
      <c r="BA72" s="76">
        <v>0</v>
      </c>
      <c r="BB72" s="76">
        <v>0</v>
      </c>
    </row>
    <row r="73" spans="8:54"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76">
        <v>0</v>
      </c>
      <c r="T73" s="76">
        <v>0</v>
      </c>
      <c r="U73" s="81">
        <v>5</v>
      </c>
      <c r="V73" s="77">
        <v>1</v>
      </c>
      <c r="W73" s="77">
        <v>1</v>
      </c>
      <c r="X73" s="76">
        <v>0</v>
      </c>
      <c r="Y73" s="76">
        <v>0</v>
      </c>
      <c r="Z73" s="77">
        <v>1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76">
        <v>0</v>
      </c>
      <c r="AO73" s="76">
        <v>0</v>
      </c>
      <c r="AP73" s="76">
        <v>0</v>
      </c>
      <c r="AQ73" s="76">
        <v>0</v>
      </c>
      <c r="AR73" s="76">
        <v>0</v>
      </c>
      <c r="AS73" s="77">
        <v>1</v>
      </c>
      <c r="AT73" s="76">
        <v>0</v>
      </c>
      <c r="AU73" s="76">
        <v>0</v>
      </c>
      <c r="AV73" s="76">
        <v>0</v>
      </c>
      <c r="AW73" s="76">
        <v>0</v>
      </c>
      <c r="AX73" s="76">
        <v>0</v>
      </c>
      <c r="AY73" s="76">
        <v>0</v>
      </c>
      <c r="AZ73" s="76">
        <v>0</v>
      </c>
      <c r="BA73" s="76">
        <v>0</v>
      </c>
      <c r="BB73" s="76">
        <v>0</v>
      </c>
    </row>
    <row r="74" spans="8:54"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  <c r="T74" s="77">
        <v>1</v>
      </c>
      <c r="U74" s="82">
        <v>6</v>
      </c>
      <c r="V74" s="78">
        <v>2</v>
      </c>
      <c r="W74" s="78">
        <v>2</v>
      </c>
      <c r="X74" s="76">
        <v>0</v>
      </c>
      <c r="Y74" s="76">
        <v>0</v>
      </c>
      <c r="Z74" s="78">
        <v>2</v>
      </c>
      <c r="AA74" s="76">
        <v>0</v>
      </c>
      <c r="AB74" s="76">
        <v>0</v>
      </c>
      <c r="AC74" s="76">
        <v>0</v>
      </c>
      <c r="AD74" s="76">
        <v>0</v>
      </c>
      <c r="AE74" s="76">
        <v>0</v>
      </c>
      <c r="AF74" s="76">
        <v>0</v>
      </c>
      <c r="AG74" s="76">
        <v>0</v>
      </c>
      <c r="AH74" s="76">
        <v>0</v>
      </c>
      <c r="AI74" s="76">
        <v>0</v>
      </c>
      <c r="AJ74" s="76">
        <v>0</v>
      </c>
      <c r="AK74" s="76">
        <v>0</v>
      </c>
      <c r="AL74" s="76">
        <v>0</v>
      </c>
      <c r="AM74" s="76">
        <v>0</v>
      </c>
      <c r="AN74" s="76">
        <v>0</v>
      </c>
      <c r="AO74" s="76">
        <v>0</v>
      </c>
      <c r="AP74" s="76">
        <v>0</v>
      </c>
      <c r="AQ74" s="76">
        <v>0</v>
      </c>
      <c r="AR74" s="76">
        <v>0</v>
      </c>
      <c r="AS74" s="77">
        <v>1</v>
      </c>
      <c r="AT74" s="76">
        <v>0</v>
      </c>
      <c r="AU74" s="76">
        <v>0</v>
      </c>
      <c r="AV74" s="76">
        <v>0</v>
      </c>
      <c r="AW74" s="76">
        <v>0</v>
      </c>
      <c r="AX74" s="76">
        <v>0</v>
      </c>
      <c r="AY74" s="76">
        <v>0</v>
      </c>
      <c r="AZ74" s="76">
        <v>0</v>
      </c>
      <c r="BA74" s="76">
        <v>0</v>
      </c>
      <c r="BB74" s="76">
        <v>0</v>
      </c>
    </row>
    <row r="75" spans="8:54"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  <c r="T75" s="77">
        <v>1</v>
      </c>
      <c r="U75" s="79">
        <v>3</v>
      </c>
      <c r="V75" s="78">
        <v>2</v>
      </c>
      <c r="W75" s="78">
        <v>2</v>
      </c>
      <c r="X75" s="76">
        <v>0</v>
      </c>
      <c r="Y75" s="76">
        <v>0</v>
      </c>
      <c r="Z75" s="78">
        <v>2</v>
      </c>
      <c r="AA75" s="77">
        <v>1</v>
      </c>
      <c r="AB75" s="78">
        <v>2</v>
      </c>
      <c r="AC75" s="77">
        <v>1</v>
      </c>
      <c r="AD75" s="77">
        <v>1</v>
      </c>
      <c r="AE75" s="76">
        <v>0</v>
      </c>
      <c r="AF75" s="76">
        <v>0</v>
      </c>
      <c r="AG75" s="77">
        <v>1</v>
      </c>
      <c r="AH75" s="76">
        <v>0</v>
      </c>
      <c r="AI75" s="77">
        <v>1</v>
      </c>
      <c r="AJ75" s="76">
        <v>0</v>
      </c>
      <c r="AK75" s="76">
        <v>0</v>
      </c>
      <c r="AL75" s="76">
        <v>0</v>
      </c>
      <c r="AM75" s="76">
        <v>0</v>
      </c>
      <c r="AN75" s="76">
        <v>0</v>
      </c>
      <c r="AO75" s="76">
        <v>0</v>
      </c>
      <c r="AP75" s="76">
        <v>0</v>
      </c>
      <c r="AQ75" s="76">
        <v>0</v>
      </c>
      <c r="AR75" s="76">
        <v>0</v>
      </c>
      <c r="AS75" s="77">
        <v>1</v>
      </c>
      <c r="AT75" s="76">
        <v>0</v>
      </c>
      <c r="AU75" s="76">
        <v>0</v>
      </c>
      <c r="AV75" s="76">
        <v>0</v>
      </c>
      <c r="AW75" s="76">
        <v>0</v>
      </c>
      <c r="AX75" s="76">
        <v>0</v>
      </c>
      <c r="AY75" s="76">
        <v>0</v>
      </c>
      <c r="AZ75" s="76">
        <v>0</v>
      </c>
      <c r="BA75" s="76">
        <v>0</v>
      </c>
      <c r="BB75" s="76">
        <v>0</v>
      </c>
    </row>
    <row r="76" spans="8:54"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7">
        <v>1</v>
      </c>
      <c r="W76" s="76">
        <v>0</v>
      </c>
      <c r="X76" s="76">
        <v>0</v>
      </c>
      <c r="Y76" s="80">
        <v>4</v>
      </c>
      <c r="Z76" s="77">
        <v>1</v>
      </c>
      <c r="AA76" s="76">
        <v>0</v>
      </c>
      <c r="AB76" s="81">
        <v>5</v>
      </c>
      <c r="AC76" s="79">
        <v>3</v>
      </c>
      <c r="AD76" s="82">
        <v>6</v>
      </c>
      <c r="AE76" s="76">
        <v>0</v>
      </c>
      <c r="AF76" s="76">
        <v>0</v>
      </c>
      <c r="AG76" s="76">
        <v>0</v>
      </c>
      <c r="AH76" s="76">
        <v>0</v>
      </c>
      <c r="AI76" s="80">
        <v>4</v>
      </c>
      <c r="AJ76" s="76">
        <v>0</v>
      </c>
      <c r="AK76" s="80">
        <v>4</v>
      </c>
      <c r="AL76" s="76">
        <v>0</v>
      </c>
      <c r="AM76" s="76">
        <v>0</v>
      </c>
      <c r="AN76" s="76">
        <v>0</v>
      </c>
      <c r="AO76" s="76">
        <v>0</v>
      </c>
      <c r="AP76" s="77">
        <v>1</v>
      </c>
      <c r="AQ76" s="76">
        <v>0</v>
      </c>
      <c r="AR76" s="78">
        <v>2</v>
      </c>
      <c r="AS76" s="76">
        <v>0</v>
      </c>
      <c r="AT76" s="80">
        <v>4</v>
      </c>
      <c r="AU76" s="81">
        <v>5</v>
      </c>
      <c r="AV76" s="76">
        <v>0</v>
      </c>
      <c r="AW76" s="76">
        <v>0</v>
      </c>
      <c r="AX76" s="76">
        <v>0</v>
      </c>
      <c r="AY76" s="76">
        <v>0</v>
      </c>
      <c r="AZ76" s="77">
        <v>1</v>
      </c>
      <c r="BA76" s="76">
        <v>0</v>
      </c>
      <c r="BB76" s="80">
        <v>4</v>
      </c>
    </row>
    <row r="77" spans="8:54"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  <c r="T77" s="76">
        <v>0</v>
      </c>
      <c r="U77" s="76">
        <v>0</v>
      </c>
      <c r="V77" s="77">
        <v>1</v>
      </c>
      <c r="W77" s="76">
        <v>0</v>
      </c>
      <c r="X77" s="76">
        <v>0</v>
      </c>
      <c r="Y77" s="80">
        <v>4</v>
      </c>
      <c r="Z77" s="77">
        <v>1</v>
      </c>
      <c r="AA77" s="76">
        <v>0</v>
      </c>
      <c r="AB77" s="81">
        <v>5</v>
      </c>
      <c r="AC77" s="79">
        <v>3</v>
      </c>
      <c r="AD77" s="82">
        <v>6</v>
      </c>
      <c r="AE77" s="76">
        <v>0</v>
      </c>
      <c r="AF77" s="76">
        <v>0</v>
      </c>
      <c r="AG77" s="76">
        <v>0</v>
      </c>
      <c r="AH77" s="76">
        <v>0</v>
      </c>
      <c r="AI77" s="80">
        <v>4</v>
      </c>
      <c r="AJ77" s="76">
        <v>0</v>
      </c>
      <c r="AK77" s="80">
        <v>4</v>
      </c>
      <c r="AL77" s="76">
        <v>0</v>
      </c>
      <c r="AM77" s="76">
        <v>0</v>
      </c>
      <c r="AN77" s="76">
        <v>0</v>
      </c>
      <c r="AO77" s="76">
        <v>0</v>
      </c>
      <c r="AP77" s="77">
        <v>1</v>
      </c>
      <c r="AQ77" s="76">
        <v>0</v>
      </c>
      <c r="AR77" s="78">
        <v>2</v>
      </c>
      <c r="AS77" s="76">
        <v>0</v>
      </c>
      <c r="AT77" s="80">
        <v>4</v>
      </c>
      <c r="AU77" s="80">
        <v>4</v>
      </c>
      <c r="AV77" s="76">
        <v>0</v>
      </c>
      <c r="AW77" s="76">
        <v>0</v>
      </c>
      <c r="AX77" s="76">
        <v>0</v>
      </c>
      <c r="AY77" s="76">
        <v>0</v>
      </c>
      <c r="AZ77" s="76">
        <v>0</v>
      </c>
      <c r="BA77" s="76">
        <v>0</v>
      </c>
      <c r="BB77" s="80">
        <v>4</v>
      </c>
    </row>
    <row r="78" spans="8:54"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7">
        <v>1</v>
      </c>
      <c r="Q78" s="76">
        <v>0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9">
        <v>3</v>
      </c>
      <c r="Z78" s="76">
        <v>0</v>
      </c>
      <c r="AA78" s="76">
        <v>0</v>
      </c>
      <c r="AB78" s="80">
        <v>4</v>
      </c>
      <c r="AC78" s="78">
        <v>2</v>
      </c>
      <c r="AD78" s="80">
        <v>4</v>
      </c>
      <c r="AE78" s="76">
        <v>0</v>
      </c>
      <c r="AF78" s="76">
        <v>0</v>
      </c>
      <c r="AG78" s="76">
        <v>0</v>
      </c>
      <c r="AH78" s="76">
        <v>0</v>
      </c>
      <c r="AI78" s="80">
        <v>4</v>
      </c>
      <c r="AJ78" s="76">
        <v>0</v>
      </c>
      <c r="AK78" s="80">
        <v>4</v>
      </c>
      <c r="AL78" s="76">
        <v>0</v>
      </c>
      <c r="AM78" s="76">
        <v>0</v>
      </c>
      <c r="AN78" s="76">
        <v>0</v>
      </c>
      <c r="AO78" s="76">
        <v>0</v>
      </c>
      <c r="AP78" s="77">
        <v>1</v>
      </c>
      <c r="AQ78" s="76">
        <v>0</v>
      </c>
      <c r="AR78" s="78">
        <v>2</v>
      </c>
      <c r="AS78" s="76">
        <v>0</v>
      </c>
      <c r="AT78" s="80">
        <v>4</v>
      </c>
      <c r="AU78" s="80">
        <v>4</v>
      </c>
      <c r="AV78" s="76">
        <v>0</v>
      </c>
      <c r="AW78" s="76">
        <v>0</v>
      </c>
      <c r="AX78" s="76">
        <v>0</v>
      </c>
      <c r="AY78" s="76">
        <v>0</v>
      </c>
      <c r="AZ78" s="76">
        <v>0</v>
      </c>
      <c r="BA78" s="76">
        <v>0</v>
      </c>
      <c r="BB78" s="80">
        <v>4</v>
      </c>
    </row>
    <row r="79" spans="8:54"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7">
        <v>1</v>
      </c>
      <c r="Q79" s="76">
        <v>0</v>
      </c>
      <c r="R79" s="77">
        <v>1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8">
        <v>2</v>
      </c>
      <c r="Z79" s="76">
        <v>0</v>
      </c>
      <c r="AA79" s="76">
        <v>0</v>
      </c>
      <c r="AB79" s="80">
        <v>4</v>
      </c>
      <c r="AC79" s="78">
        <v>2</v>
      </c>
      <c r="AD79" s="80">
        <v>4</v>
      </c>
      <c r="AE79" s="76">
        <v>0</v>
      </c>
      <c r="AF79" s="76">
        <v>0</v>
      </c>
      <c r="AG79" s="76">
        <v>0</v>
      </c>
      <c r="AH79" s="76">
        <v>0</v>
      </c>
      <c r="AI79" s="80">
        <v>4</v>
      </c>
      <c r="AJ79" s="76">
        <v>0</v>
      </c>
      <c r="AK79" s="80">
        <v>4</v>
      </c>
      <c r="AL79" s="76">
        <v>0</v>
      </c>
      <c r="AM79" s="76">
        <v>0</v>
      </c>
      <c r="AN79" s="76">
        <v>0</v>
      </c>
      <c r="AO79" s="76">
        <v>0</v>
      </c>
      <c r="AP79" s="77">
        <v>1</v>
      </c>
      <c r="AQ79" s="76">
        <v>0</v>
      </c>
      <c r="AR79" s="78">
        <v>2</v>
      </c>
      <c r="AS79" s="76">
        <v>0</v>
      </c>
      <c r="AT79" s="80">
        <v>4</v>
      </c>
      <c r="AU79" s="81">
        <v>5</v>
      </c>
      <c r="AV79" s="76">
        <v>0</v>
      </c>
      <c r="AW79" s="76">
        <v>0</v>
      </c>
      <c r="AX79" s="76">
        <v>0</v>
      </c>
      <c r="AY79" s="76">
        <v>0</v>
      </c>
      <c r="AZ79" s="76">
        <v>0</v>
      </c>
      <c r="BA79" s="76">
        <v>0</v>
      </c>
      <c r="BB79" s="80">
        <v>4</v>
      </c>
    </row>
    <row r="80" spans="8:54"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  <c r="T80" s="76">
        <v>0</v>
      </c>
      <c r="U80" s="77">
        <v>1</v>
      </c>
      <c r="V80" s="77">
        <v>1</v>
      </c>
      <c r="W80" s="76">
        <v>0</v>
      </c>
      <c r="X80" s="76">
        <v>0</v>
      </c>
      <c r="Y80" s="77">
        <v>1</v>
      </c>
      <c r="Z80" s="77">
        <v>1</v>
      </c>
      <c r="AA80" s="77">
        <v>1</v>
      </c>
      <c r="AB80" s="82">
        <v>6</v>
      </c>
      <c r="AC80" s="78">
        <v>2</v>
      </c>
      <c r="AD80" s="82">
        <v>6</v>
      </c>
      <c r="AE80" s="76">
        <v>0</v>
      </c>
      <c r="AF80" s="76">
        <v>0</v>
      </c>
      <c r="AG80" s="76">
        <v>0</v>
      </c>
      <c r="AH80" s="76">
        <v>0</v>
      </c>
      <c r="AI80" s="80">
        <v>4</v>
      </c>
      <c r="AJ80" s="76">
        <v>0</v>
      </c>
      <c r="AK80" s="80">
        <v>4</v>
      </c>
      <c r="AL80" s="76">
        <v>0</v>
      </c>
      <c r="AM80" s="76">
        <v>0</v>
      </c>
      <c r="AN80" s="76">
        <v>0</v>
      </c>
      <c r="AO80" s="76">
        <v>0</v>
      </c>
      <c r="AP80" s="77">
        <v>1</v>
      </c>
      <c r="AQ80" s="76">
        <v>0</v>
      </c>
      <c r="AR80" s="78">
        <v>2</v>
      </c>
      <c r="AS80" s="76">
        <v>0</v>
      </c>
      <c r="AT80" s="81">
        <v>5</v>
      </c>
      <c r="AU80" s="81">
        <v>5</v>
      </c>
      <c r="AV80" s="76">
        <v>0</v>
      </c>
      <c r="AW80" s="76">
        <v>0</v>
      </c>
      <c r="AX80" s="76">
        <v>0</v>
      </c>
      <c r="AY80" s="76">
        <v>0</v>
      </c>
      <c r="AZ80" s="77">
        <v>1</v>
      </c>
      <c r="BA80" s="76">
        <v>0</v>
      </c>
      <c r="BB80" s="79">
        <v>3</v>
      </c>
    </row>
    <row r="81" spans="8:54"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7">
        <v>1</v>
      </c>
      <c r="Z81" s="76">
        <v>0</v>
      </c>
      <c r="AA81" s="77">
        <v>1</v>
      </c>
      <c r="AB81" s="81">
        <v>5</v>
      </c>
      <c r="AC81" s="78">
        <v>2</v>
      </c>
      <c r="AD81" s="81">
        <v>5</v>
      </c>
      <c r="AE81" s="76">
        <v>0</v>
      </c>
      <c r="AF81" s="76">
        <v>0</v>
      </c>
      <c r="AG81" s="76">
        <v>0</v>
      </c>
      <c r="AH81" s="76">
        <v>0</v>
      </c>
      <c r="AI81" s="80">
        <v>4</v>
      </c>
      <c r="AJ81" s="76">
        <v>0</v>
      </c>
      <c r="AK81" s="80">
        <v>4</v>
      </c>
      <c r="AL81" s="76">
        <v>0</v>
      </c>
      <c r="AM81" s="76">
        <v>0</v>
      </c>
      <c r="AN81" s="76">
        <v>0</v>
      </c>
      <c r="AO81" s="76">
        <v>0</v>
      </c>
      <c r="AP81" s="77">
        <v>1</v>
      </c>
      <c r="AQ81" s="76">
        <v>0</v>
      </c>
      <c r="AR81" s="78">
        <v>2</v>
      </c>
      <c r="AS81" s="76">
        <v>0</v>
      </c>
      <c r="AT81" s="81">
        <v>5</v>
      </c>
      <c r="AU81" s="79">
        <v>3</v>
      </c>
      <c r="AV81" s="76">
        <v>0</v>
      </c>
      <c r="AW81" s="76">
        <v>0</v>
      </c>
      <c r="AX81" s="76">
        <v>0</v>
      </c>
      <c r="AY81" s="76">
        <v>0</v>
      </c>
      <c r="AZ81" s="76">
        <v>0</v>
      </c>
      <c r="BA81" s="76">
        <v>0</v>
      </c>
      <c r="BB81" s="79">
        <v>3</v>
      </c>
    </row>
    <row r="82" spans="8:54"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8">
        <v>2</v>
      </c>
      <c r="AC82" s="77">
        <v>1</v>
      </c>
      <c r="AD82" s="78">
        <v>2</v>
      </c>
      <c r="AE82" s="76">
        <v>0</v>
      </c>
      <c r="AF82" s="76">
        <v>0</v>
      </c>
      <c r="AG82" s="76">
        <v>0</v>
      </c>
      <c r="AH82" s="76">
        <v>0</v>
      </c>
      <c r="AI82" s="79">
        <v>3</v>
      </c>
      <c r="AJ82" s="76">
        <v>0</v>
      </c>
      <c r="AK82" s="80">
        <v>4</v>
      </c>
      <c r="AL82" s="76">
        <v>0</v>
      </c>
      <c r="AM82" s="76">
        <v>0</v>
      </c>
      <c r="AN82" s="76">
        <v>0</v>
      </c>
      <c r="AO82" s="76">
        <v>0</v>
      </c>
      <c r="AP82" s="77">
        <v>1</v>
      </c>
      <c r="AQ82" s="76">
        <v>0</v>
      </c>
      <c r="AR82" s="78">
        <v>2</v>
      </c>
      <c r="AS82" s="76">
        <v>0</v>
      </c>
      <c r="AT82" s="80">
        <v>4</v>
      </c>
      <c r="AU82" s="80">
        <v>4</v>
      </c>
      <c r="AV82" s="76">
        <v>0</v>
      </c>
      <c r="AW82" s="76">
        <v>0</v>
      </c>
      <c r="AX82" s="76">
        <v>0</v>
      </c>
      <c r="AY82" s="76">
        <v>0</v>
      </c>
      <c r="AZ82" s="76">
        <v>0</v>
      </c>
      <c r="BA82" s="76">
        <v>0</v>
      </c>
      <c r="BB82" s="78">
        <v>2</v>
      </c>
    </row>
    <row r="83" spans="8:54"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7">
        <v>1</v>
      </c>
      <c r="AC83" s="76">
        <v>0</v>
      </c>
      <c r="AD83" s="78">
        <v>2</v>
      </c>
      <c r="AE83" s="76">
        <v>0</v>
      </c>
      <c r="AF83" s="76">
        <v>0</v>
      </c>
      <c r="AG83" s="76">
        <v>0</v>
      </c>
      <c r="AH83" s="76">
        <v>0</v>
      </c>
      <c r="AI83" s="80">
        <v>4</v>
      </c>
      <c r="AJ83" s="76">
        <v>0</v>
      </c>
      <c r="AK83" s="79">
        <v>3</v>
      </c>
      <c r="AL83" s="76">
        <v>0</v>
      </c>
      <c r="AM83" s="76">
        <v>0</v>
      </c>
      <c r="AN83" s="76">
        <v>0</v>
      </c>
      <c r="AO83" s="76">
        <v>0</v>
      </c>
      <c r="AP83" s="76">
        <v>0</v>
      </c>
      <c r="AQ83" s="76">
        <v>0</v>
      </c>
      <c r="AR83" s="76">
        <v>0</v>
      </c>
      <c r="AS83" s="76">
        <v>0</v>
      </c>
      <c r="AT83" s="79">
        <v>3</v>
      </c>
      <c r="AU83" s="77">
        <v>1</v>
      </c>
      <c r="AV83" s="76">
        <v>0</v>
      </c>
      <c r="AW83" s="76">
        <v>0</v>
      </c>
      <c r="AX83" s="76">
        <v>0</v>
      </c>
      <c r="AY83" s="76">
        <v>0</v>
      </c>
      <c r="AZ83" s="76">
        <v>0</v>
      </c>
      <c r="BA83" s="76">
        <v>0</v>
      </c>
      <c r="BB83" s="76">
        <v>0</v>
      </c>
    </row>
    <row r="84" spans="8:54"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76">
        <v>0</v>
      </c>
      <c r="AO84" s="76">
        <v>0</v>
      </c>
      <c r="AP84" s="76">
        <v>0</v>
      </c>
      <c r="AQ84" s="76">
        <v>0</v>
      </c>
      <c r="AR84" s="76">
        <v>0</v>
      </c>
      <c r="AS84" s="76">
        <v>0</v>
      </c>
      <c r="AT84" s="76">
        <v>0</v>
      </c>
      <c r="AU84" s="77">
        <v>1</v>
      </c>
      <c r="AV84" s="76">
        <v>0</v>
      </c>
      <c r="AW84" s="76">
        <v>0</v>
      </c>
      <c r="AX84" s="76">
        <v>0</v>
      </c>
      <c r="AY84" s="76">
        <v>0</v>
      </c>
      <c r="AZ84" s="76">
        <v>0</v>
      </c>
      <c r="BA84" s="76">
        <v>0</v>
      </c>
      <c r="BB84" s="76">
        <v>0</v>
      </c>
    </row>
    <row r="85" spans="8:54"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76">
        <v>0</v>
      </c>
      <c r="AO85" s="76">
        <v>0</v>
      </c>
      <c r="AP85" s="76">
        <v>0</v>
      </c>
      <c r="AQ85" s="76">
        <v>0</v>
      </c>
      <c r="AR85" s="76">
        <v>0</v>
      </c>
      <c r="AS85" s="76">
        <v>0</v>
      </c>
      <c r="AT85" s="76">
        <v>0</v>
      </c>
      <c r="AU85" s="77">
        <v>1</v>
      </c>
      <c r="AV85" s="76">
        <v>0</v>
      </c>
      <c r="AW85" s="76">
        <v>0</v>
      </c>
      <c r="AX85" s="76">
        <v>0</v>
      </c>
      <c r="AY85" s="76">
        <v>0</v>
      </c>
      <c r="AZ85" s="76">
        <v>0</v>
      </c>
      <c r="BA85" s="76">
        <v>0</v>
      </c>
      <c r="BB85" s="76">
        <v>0</v>
      </c>
    </row>
    <row r="86" spans="8:54"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76">
        <v>0</v>
      </c>
      <c r="S86" s="76">
        <v>0</v>
      </c>
      <c r="T86" s="76">
        <v>0</v>
      </c>
      <c r="U86" s="77">
        <v>1</v>
      </c>
      <c r="V86" s="77">
        <v>1</v>
      </c>
      <c r="W86" s="76">
        <v>0</v>
      </c>
      <c r="X86" s="76">
        <v>0</v>
      </c>
      <c r="Y86" s="76">
        <v>0</v>
      </c>
      <c r="Z86" s="77">
        <v>1</v>
      </c>
      <c r="AA86" s="76">
        <v>0</v>
      </c>
      <c r="AB86" s="77">
        <v>1</v>
      </c>
      <c r="AC86" s="77">
        <v>1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76">
        <v>0</v>
      </c>
      <c r="AO86" s="76">
        <v>0</v>
      </c>
      <c r="AP86" s="76">
        <v>0</v>
      </c>
      <c r="AQ86" s="76">
        <v>0</v>
      </c>
      <c r="AR86" s="76">
        <v>0</v>
      </c>
      <c r="AS86" s="76">
        <v>0</v>
      </c>
      <c r="AT86" s="78">
        <v>2</v>
      </c>
      <c r="AU86" s="77">
        <v>1</v>
      </c>
      <c r="AV86" s="76">
        <v>0</v>
      </c>
      <c r="AW86" s="76">
        <v>0</v>
      </c>
      <c r="AX86" s="76">
        <v>0</v>
      </c>
      <c r="AY86" s="76">
        <v>0</v>
      </c>
      <c r="AZ86" s="76">
        <v>0</v>
      </c>
      <c r="BA86" s="77">
        <v>1</v>
      </c>
      <c r="BB86" s="77">
        <v>1</v>
      </c>
    </row>
    <row r="87" spans="8:54">
      <c r="H87" s="76">
        <v>0</v>
      </c>
      <c r="I87" s="76">
        <v>0</v>
      </c>
      <c r="J87" s="76">
        <v>0</v>
      </c>
      <c r="K87" s="76">
        <v>0</v>
      </c>
      <c r="L87" s="76">
        <v>0</v>
      </c>
      <c r="M87" s="76">
        <v>0</v>
      </c>
      <c r="N87" s="76">
        <v>0</v>
      </c>
      <c r="O87" s="77">
        <v>1</v>
      </c>
      <c r="P87" s="76">
        <v>0</v>
      </c>
      <c r="Q87" s="76">
        <v>0</v>
      </c>
      <c r="R87" s="76">
        <v>0</v>
      </c>
      <c r="S87" s="76">
        <v>0</v>
      </c>
      <c r="T87" s="76">
        <v>0</v>
      </c>
      <c r="U87" s="76">
        <v>0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8">
        <v>2</v>
      </c>
      <c r="AC87" s="76">
        <v>0</v>
      </c>
      <c r="AD87" s="76">
        <v>0</v>
      </c>
      <c r="AE87" s="76">
        <v>0</v>
      </c>
      <c r="AF87" s="77">
        <v>1</v>
      </c>
      <c r="AG87" s="77">
        <v>1</v>
      </c>
      <c r="AH87" s="77">
        <v>1</v>
      </c>
      <c r="AI87" s="79">
        <v>3</v>
      </c>
      <c r="AJ87" s="76">
        <v>0</v>
      </c>
      <c r="AK87" s="80">
        <v>4</v>
      </c>
      <c r="AL87" s="77">
        <v>1</v>
      </c>
      <c r="AM87" s="77">
        <v>1</v>
      </c>
      <c r="AN87" s="76">
        <v>0</v>
      </c>
      <c r="AO87" s="76">
        <v>0</v>
      </c>
      <c r="AP87" s="76">
        <v>0</v>
      </c>
      <c r="AQ87" s="76">
        <v>0</v>
      </c>
      <c r="AR87" s="78">
        <v>2</v>
      </c>
      <c r="AS87" s="76">
        <v>0</v>
      </c>
      <c r="AT87" s="79">
        <v>3</v>
      </c>
      <c r="AU87" s="76">
        <v>0</v>
      </c>
      <c r="AV87" s="77">
        <v>1</v>
      </c>
      <c r="AW87" s="76">
        <v>0</v>
      </c>
      <c r="AX87" s="76">
        <v>0</v>
      </c>
      <c r="AY87" s="76">
        <v>0</v>
      </c>
      <c r="AZ87" s="76">
        <v>0</v>
      </c>
      <c r="BA87" s="76">
        <v>0</v>
      </c>
      <c r="BB87" s="76">
        <v>0</v>
      </c>
    </row>
    <row r="88" spans="8:54"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7">
        <v>1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0</v>
      </c>
      <c r="Y88" s="77">
        <v>1</v>
      </c>
      <c r="Z88" s="76">
        <v>0</v>
      </c>
      <c r="AA88" s="76">
        <v>0</v>
      </c>
      <c r="AB88" s="78">
        <v>2</v>
      </c>
      <c r="AC88" s="76">
        <v>0</v>
      </c>
      <c r="AD88" s="76">
        <v>0</v>
      </c>
      <c r="AE88" s="76">
        <v>0</v>
      </c>
      <c r="AF88" s="77">
        <v>1</v>
      </c>
      <c r="AG88" s="77">
        <v>1</v>
      </c>
      <c r="AH88" s="77">
        <v>1</v>
      </c>
      <c r="AI88" s="78">
        <v>2</v>
      </c>
      <c r="AJ88" s="76">
        <v>0</v>
      </c>
      <c r="AK88" s="80">
        <v>4</v>
      </c>
      <c r="AL88" s="76">
        <v>0</v>
      </c>
      <c r="AM88" s="76">
        <v>0</v>
      </c>
      <c r="AN88" s="76">
        <v>0</v>
      </c>
      <c r="AO88" s="76">
        <v>0</v>
      </c>
      <c r="AP88" s="76">
        <v>0</v>
      </c>
      <c r="AQ88" s="76">
        <v>0</v>
      </c>
      <c r="AR88" s="76">
        <v>0</v>
      </c>
      <c r="AS88" s="76">
        <v>0</v>
      </c>
      <c r="AT88" s="80">
        <v>4</v>
      </c>
      <c r="AU88" s="76">
        <v>0</v>
      </c>
      <c r="AV88" s="77">
        <v>1</v>
      </c>
      <c r="AW88" s="76">
        <v>0</v>
      </c>
      <c r="AX88" s="76">
        <v>0</v>
      </c>
      <c r="AY88" s="76">
        <v>0</v>
      </c>
      <c r="AZ88" s="76">
        <v>0</v>
      </c>
      <c r="BA88" s="76">
        <v>0</v>
      </c>
      <c r="BB88" s="76">
        <v>0</v>
      </c>
    </row>
    <row r="89" spans="8:54">
      <c r="H89" s="77">
        <v>1</v>
      </c>
      <c r="I89" s="77">
        <v>1</v>
      </c>
      <c r="J89" s="77">
        <v>1</v>
      </c>
      <c r="K89" s="77">
        <v>1</v>
      </c>
      <c r="L89" s="77">
        <v>1</v>
      </c>
      <c r="M89" s="77">
        <v>1</v>
      </c>
      <c r="N89" s="76">
        <v>0</v>
      </c>
      <c r="O89" s="77">
        <v>1</v>
      </c>
      <c r="P89" s="77">
        <v>1</v>
      </c>
      <c r="Q89" s="77">
        <v>1</v>
      </c>
      <c r="R89" s="77">
        <v>1</v>
      </c>
      <c r="S89" s="77">
        <v>1</v>
      </c>
      <c r="T89" s="76">
        <v>0</v>
      </c>
      <c r="U89" s="76">
        <v>0</v>
      </c>
      <c r="V89" s="76">
        <v>0</v>
      </c>
      <c r="W89" s="77">
        <v>1</v>
      </c>
      <c r="X89" s="77">
        <v>1</v>
      </c>
      <c r="Y89" s="77">
        <v>1</v>
      </c>
      <c r="Z89" s="76">
        <v>0</v>
      </c>
      <c r="AA89" s="81">
        <v>5</v>
      </c>
      <c r="AB89" s="79">
        <v>3</v>
      </c>
      <c r="AC89" s="77">
        <v>1</v>
      </c>
      <c r="AD89" s="77">
        <v>1</v>
      </c>
      <c r="AE89" s="77">
        <v>1</v>
      </c>
      <c r="AF89" s="77">
        <v>1</v>
      </c>
      <c r="AG89" s="77">
        <v>1</v>
      </c>
      <c r="AH89" s="77">
        <v>1</v>
      </c>
      <c r="AI89" s="80">
        <v>4</v>
      </c>
      <c r="AJ89" s="76">
        <v>0</v>
      </c>
      <c r="AK89" s="80">
        <v>4</v>
      </c>
      <c r="AL89" s="77">
        <v>1</v>
      </c>
      <c r="AM89" s="76">
        <v>0</v>
      </c>
      <c r="AN89" s="76">
        <v>0</v>
      </c>
      <c r="AO89" s="77">
        <v>1</v>
      </c>
      <c r="AP89" s="80">
        <v>4</v>
      </c>
      <c r="AQ89" s="77">
        <v>1</v>
      </c>
      <c r="AR89" s="79">
        <v>3</v>
      </c>
      <c r="AS89" s="77">
        <v>1</v>
      </c>
      <c r="AT89" s="80">
        <v>4</v>
      </c>
      <c r="AU89" s="77">
        <v>1</v>
      </c>
      <c r="AV89" s="77">
        <v>1</v>
      </c>
      <c r="AW89" s="76">
        <v>0</v>
      </c>
      <c r="AX89" s="77">
        <v>1</v>
      </c>
      <c r="AY89" s="77">
        <v>1</v>
      </c>
      <c r="AZ89" s="76">
        <v>0</v>
      </c>
      <c r="BA89" s="77">
        <v>1</v>
      </c>
      <c r="BB89" s="77">
        <v>1</v>
      </c>
    </row>
    <row r="90" spans="8:54">
      <c r="H90" s="76">
        <v>0</v>
      </c>
      <c r="I90" s="76">
        <v>0</v>
      </c>
      <c r="J90" s="76">
        <v>0</v>
      </c>
      <c r="K90" s="76">
        <v>0</v>
      </c>
      <c r="L90" s="76">
        <v>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0</v>
      </c>
      <c r="W90" s="76">
        <v>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76">
        <v>0</v>
      </c>
      <c r="AE90" s="76">
        <v>0</v>
      </c>
      <c r="AF90" s="76">
        <v>0</v>
      </c>
      <c r="AG90" s="76">
        <v>0</v>
      </c>
      <c r="AH90" s="76">
        <v>0</v>
      </c>
      <c r="AI90" s="76">
        <v>0</v>
      </c>
      <c r="AJ90" s="76">
        <v>0</v>
      </c>
      <c r="AK90" s="76">
        <v>0</v>
      </c>
      <c r="AL90" s="76">
        <v>0</v>
      </c>
      <c r="AM90" s="76">
        <v>0</v>
      </c>
      <c r="AN90" s="76">
        <v>0</v>
      </c>
      <c r="AO90" s="76">
        <v>0</v>
      </c>
      <c r="AP90" s="76">
        <v>0</v>
      </c>
      <c r="AQ90" s="76">
        <v>0</v>
      </c>
      <c r="AR90" s="76">
        <v>0</v>
      </c>
      <c r="AS90" s="76">
        <v>0</v>
      </c>
      <c r="AT90" s="76">
        <v>0</v>
      </c>
      <c r="AU90" s="80">
        <v>4</v>
      </c>
      <c r="AV90" s="76">
        <v>0</v>
      </c>
      <c r="AW90" s="76">
        <v>0</v>
      </c>
      <c r="AX90" s="76">
        <v>0</v>
      </c>
      <c r="AY90" s="76">
        <v>0</v>
      </c>
      <c r="AZ90" s="76">
        <v>0</v>
      </c>
      <c r="BA90" s="76">
        <v>0</v>
      </c>
      <c r="BB90" s="76">
        <v>0</v>
      </c>
    </row>
    <row r="91" spans="8:54">
      <c r="H91" s="76">
        <v>0</v>
      </c>
      <c r="I91" s="76">
        <v>0</v>
      </c>
      <c r="J91" s="76">
        <v>0</v>
      </c>
      <c r="K91" s="76">
        <v>0</v>
      </c>
      <c r="L91" s="76">
        <v>0</v>
      </c>
      <c r="M91" s="76">
        <v>0</v>
      </c>
      <c r="N91" s="76">
        <v>0</v>
      </c>
      <c r="O91" s="76">
        <v>0</v>
      </c>
      <c r="P91" s="76">
        <v>0</v>
      </c>
      <c r="Q91" s="76">
        <v>0</v>
      </c>
      <c r="R91" s="76">
        <v>0</v>
      </c>
      <c r="S91" s="76">
        <v>0</v>
      </c>
      <c r="T91" s="76">
        <v>0</v>
      </c>
      <c r="U91" s="76">
        <v>0</v>
      </c>
      <c r="V91" s="76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76">
        <v>0</v>
      </c>
      <c r="AE91" s="76">
        <v>0</v>
      </c>
      <c r="AF91" s="76">
        <v>0</v>
      </c>
      <c r="AG91" s="76">
        <v>0</v>
      </c>
      <c r="AH91" s="77">
        <v>1</v>
      </c>
      <c r="AI91" s="76">
        <v>0</v>
      </c>
      <c r="AJ91" s="76">
        <v>0</v>
      </c>
      <c r="AK91" s="76">
        <v>0</v>
      </c>
      <c r="AL91" s="76">
        <v>0</v>
      </c>
      <c r="AM91" s="76">
        <v>0</v>
      </c>
      <c r="AN91" s="76">
        <v>0</v>
      </c>
      <c r="AO91" s="76">
        <v>0</v>
      </c>
      <c r="AP91" s="76">
        <v>0</v>
      </c>
      <c r="AQ91" s="76">
        <v>0</v>
      </c>
      <c r="AR91" s="76">
        <v>0</v>
      </c>
      <c r="AS91" s="76">
        <v>0</v>
      </c>
      <c r="AT91" s="76">
        <v>0</v>
      </c>
      <c r="AU91" s="80">
        <v>4</v>
      </c>
      <c r="AV91" s="76">
        <v>0</v>
      </c>
      <c r="AW91" s="76">
        <v>0</v>
      </c>
      <c r="AX91" s="76">
        <v>0</v>
      </c>
      <c r="AY91" s="76">
        <v>0</v>
      </c>
      <c r="AZ91" s="76">
        <v>0</v>
      </c>
      <c r="BA91" s="76">
        <v>0</v>
      </c>
      <c r="BB91" s="77">
        <v>1</v>
      </c>
    </row>
    <row r="92" spans="8:54">
      <c r="H92" s="76">
        <v>0</v>
      </c>
      <c r="I92" s="76">
        <v>0</v>
      </c>
      <c r="J92" s="76">
        <v>0</v>
      </c>
      <c r="K92" s="76">
        <v>0</v>
      </c>
      <c r="L92" s="76">
        <v>0</v>
      </c>
      <c r="M92" s="76">
        <v>0</v>
      </c>
      <c r="N92" s="76">
        <v>0</v>
      </c>
      <c r="O92" s="76">
        <v>0</v>
      </c>
      <c r="P92" s="76">
        <v>0</v>
      </c>
      <c r="Q92" s="76">
        <v>0</v>
      </c>
      <c r="R92" s="76">
        <v>0</v>
      </c>
      <c r="S92" s="76">
        <v>0</v>
      </c>
      <c r="T92" s="76">
        <v>0</v>
      </c>
      <c r="U92" s="76">
        <v>0</v>
      </c>
      <c r="V92" s="76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76">
        <v>0</v>
      </c>
      <c r="AE92" s="76">
        <v>0</v>
      </c>
      <c r="AF92" s="76">
        <v>0</v>
      </c>
      <c r="AG92" s="76">
        <v>0</v>
      </c>
      <c r="AH92" s="76">
        <v>0</v>
      </c>
      <c r="AI92" s="76">
        <v>0</v>
      </c>
      <c r="AJ92" s="76">
        <v>0</v>
      </c>
      <c r="AK92" s="76">
        <v>0</v>
      </c>
      <c r="AL92" s="76">
        <v>0</v>
      </c>
      <c r="AM92" s="76">
        <v>0</v>
      </c>
      <c r="AN92" s="76">
        <v>0</v>
      </c>
      <c r="AO92" s="76">
        <v>0</v>
      </c>
      <c r="AP92" s="76">
        <v>0</v>
      </c>
      <c r="AQ92" s="76">
        <v>0</v>
      </c>
      <c r="AR92" s="76">
        <v>0</v>
      </c>
      <c r="AS92" s="76">
        <v>0</v>
      </c>
      <c r="AT92" s="76">
        <v>0</v>
      </c>
      <c r="AU92" s="80">
        <v>4</v>
      </c>
      <c r="AV92" s="76">
        <v>0</v>
      </c>
      <c r="AW92" s="76">
        <v>0</v>
      </c>
      <c r="AX92" s="76">
        <v>0</v>
      </c>
      <c r="AY92" s="76">
        <v>0</v>
      </c>
      <c r="AZ92" s="76">
        <v>0</v>
      </c>
      <c r="BA92" s="76">
        <v>0</v>
      </c>
      <c r="BB92" s="76">
        <v>0</v>
      </c>
    </row>
    <row r="93" spans="8:54"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7">
        <v>1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0</v>
      </c>
      <c r="AD93" s="76">
        <v>0</v>
      </c>
      <c r="AE93" s="76">
        <v>0</v>
      </c>
      <c r="AF93" s="76">
        <v>0</v>
      </c>
      <c r="AG93" s="76">
        <v>0</v>
      </c>
      <c r="AH93" s="77">
        <v>1</v>
      </c>
      <c r="AI93" s="76">
        <v>0</v>
      </c>
      <c r="AJ93" s="76">
        <v>0</v>
      </c>
      <c r="AK93" s="76">
        <v>0</v>
      </c>
      <c r="AL93" s="76">
        <v>0</v>
      </c>
      <c r="AM93" s="76">
        <v>0</v>
      </c>
      <c r="AN93" s="76">
        <v>0</v>
      </c>
      <c r="AO93" s="76">
        <v>0</v>
      </c>
      <c r="AP93" s="76">
        <v>0</v>
      </c>
      <c r="AQ93" s="76">
        <v>0</v>
      </c>
      <c r="AR93" s="76">
        <v>0</v>
      </c>
      <c r="AS93" s="76">
        <v>0</v>
      </c>
      <c r="AT93" s="76">
        <v>0</v>
      </c>
      <c r="AU93" s="80">
        <v>4</v>
      </c>
      <c r="AV93" s="76">
        <v>0</v>
      </c>
      <c r="AW93" s="76">
        <v>0</v>
      </c>
      <c r="AX93" s="76">
        <v>0</v>
      </c>
      <c r="AY93" s="76">
        <v>0</v>
      </c>
      <c r="AZ93" s="76">
        <v>0</v>
      </c>
      <c r="BA93" s="76">
        <v>0</v>
      </c>
      <c r="BB93" s="76">
        <v>0</v>
      </c>
    </row>
    <row r="94" spans="8:54">
      <c r="H94" s="77">
        <v>1</v>
      </c>
      <c r="I94" s="77">
        <v>1</v>
      </c>
      <c r="J94" s="76">
        <v>0</v>
      </c>
      <c r="K94" s="77">
        <v>1</v>
      </c>
      <c r="L94" s="77">
        <v>1</v>
      </c>
      <c r="M94" s="77">
        <v>1</v>
      </c>
      <c r="N94" s="77">
        <v>1</v>
      </c>
      <c r="O94" s="77">
        <v>1</v>
      </c>
      <c r="P94" s="76">
        <v>0</v>
      </c>
      <c r="Q94" s="76">
        <v>0</v>
      </c>
      <c r="R94" s="76">
        <v>0</v>
      </c>
      <c r="S94" s="76">
        <v>0</v>
      </c>
      <c r="T94" s="76">
        <v>0</v>
      </c>
      <c r="U94" s="76">
        <v>0</v>
      </c>
      <c r="V94" s="76">
        <v>0</v>
      </c>
      <c r="W94" s="76">
        <v>0</v>
      </c>
      <c r="X94" s="76">
        <v>0</v>
      </c>
      <c r="Y94" s="76">
        <v>0</v>
      </c>
      <c r="Z94" s="76">
        <v>0</v>
      </c>
      <c r="AA94" s="76">
        <v>0</v>
      </c>
      <c r="AB94" s="78">
        <v>2</v>
      </c>
      <c r="AC94" s="79">
        <v>3</v>
      </c>
      <c r="AD94" s="76">
        <v>0</v>
      </c>
      <c r="AE94" s="77">
        <v>1</v>
      </c>
      <c r="AF94" s="77">
        <v>1</v>
      </c>
      <c r="AG94" s="77">
        <v>1</v>
      </c>
      <c r="AH94" s="76">
        <v>0</v>
      </c>
      <c r="AI94" s="77">
        <v>1</v>
      </c>
      <c r="AJ94" s="76">
        <v>0</v>
      </c>
      <c r="AK94" s="79">
        <v>3</v>
      </c>
      <c r="AL94" s="77">
        <v>1</v>
      </c>
      <c r="AM94" s="76">
        <v>0</v>
      </c>
      <c r="AN94" s="76">
        <v>0</v>
      </c>
      <c r="AO94" s="77">
        <v>1</v>
      </c>
      <c r="AP94" s="76">
        <v>0</v>
      </c>
      <c r="AQ94" s="76">
        <v>0</v>
      </c>
      <c r="AR94" s="76">
        <v>0</v>
      </c>
      <c r="AS94" s="76">
        <v>0</v>
      </c>
      <c r="AT94" s="77">
        <v>1</v>
      </c>
      <c r="AU94" s="76">
        <v>0</v>
      </c>
      <c r="AV94" s="77">
        <v>1</v>
      </c>
      <c r="AW94" s="76">
        <v>0</v>
      </c>
      <c r="AX94" s="76">
        <v>0</v>
      </c>
      <c r="AY94" s="76">
        <v>0</v>
      </c>
      <c r="AZ94" s="81">
        <v>5</v>
      </c>
      <c r="BA94" s="77">
        <v>1</v>
      </c>
      <c r="BB94" s="76">
        <v>0</v>
      </c>
    </row>
    <row r="95" spans="8:54">
      <c r="H95" s="77">
        <v>1</v>
      </c>
      <c r="I95" s="77">
        <v>1</v>
      </c>
      <c r="J95" s="76">
        <v>0</v>
      </c>
      <c r="K95" s="77">
        <v>1</v>
      </c>
      <c r="L95" s="77">
        <v>1</v>
      </c>
      <c r="M95" s="77">
        <v>1</v>
      </c>
      <c r="N95" s="77">
        <v>1</v>
      </c>
      <c r="O95" s="77">
        <v>1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0</v>
      </c>
      <c r="W95" s="76">
        <v>0</v>
      </c>
      <c r="X95" s="76">
        <v>0</v>
      </c>
      <c r="Y95" s="76">
        <v>0</v>
      </c>
      <c r="Z95" s="76">
        <v>0</v>
      </c>
      <c r="AA95" s="76">
        <v>0</v>
      </c>
      <c r="AB95" s="77">
        <v>1</v>
      </c>
      <c r="AC95" s="78">
        <v>2</v>
      </c>
      <c r="AD95" s="76">
        <v>0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79">
        <v>3</v>
      </c>
      <c r="AL95" s="76">
        <v>0</v>
      </c>
      <c r="AM95" s="76">
        <v>0</v>
      </c>
      <c r="AN95" s="76">
        <v>0</v>
      </c>
      <c r="AO95" s="76">
        <v>0</v>
      </c>
      <c r="AP95" s="76">
        <v>0</v>
      </c>
      <c r="AQ95" s="76">
        <v>0</v>
      </c>
      <c r="AR95" s="76">
        <v>0</v>
      </c>
      <c r="AS95" s="76">
        <v>0</v>
      </c>
      <c r="AT95" s="76">
        <v>0</v>
      </c>
      <c r="AU95" s="76">
        <v>0</v>
      </c>
      <c r="AV95" s="76">
        <v>0</v>
      </c>
      <c r="AW95" s="76">
        <v>0</v>
      </c>
      <c r="AX95" s="76">
        <v>0</v>
      </c>
      <c r="AY95" s="76">
        <v>0</v>
      </c>
      <c r="AZ95" s="80">
        <v>4</v>
      </c>
      <c r="BA95" s="76">
        <v>0</v>
      </c>
      <c r="BB95" s="76">
        <v>0</v>
      </c>
    </row>
    <row r="96" spans="8:54">
      <c r="H96" s="77">
        <v>1</v>
      </c>
      <c r="I96" s="77">
        <v>1</v>
      </c>
      <c r="J96" s="76">
        <v>0</v>
      </c>
      <c r="K96" s="77">
        <v>1</v>
      </c>
      <c r="L96" s="77">
        <v>1</v>
      </c>
      <c r="M96" s="77">
        <v>1</v>
      </c>
      <c r="N96" s="77">
        <v>1</v>
      </c>
      <c r="O96" s="77">
        <v>1</v>
      </c>
      <c r="P96" s="76">
        <v>0</v>
      </c>
      <c r="Q96" s="76">
        <v>0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8">
        <v>2</v>
      </c>
      <c r="AC96" s="79">
        <v>3</v>
      </c>
      <c r="AD96" s="76">
        <v>0</v>
      </c>
      <c r="AE96" s="77">
        <v>1</v>
      </c>
      <c r="AF96" s="77">
        <v>1</v>
      </c>
      <c r="AG96" s="77">
        <v>1</v>
      </c>
      <c r="AH96" s="76">
        <v>0</v>
      </c>
      <c r="AI96" s="77">
        <v>1</v>
      </c>
      <c r="AJ96" s="76">
        <v>0</v>
      </c>
      <c r="AK96" s="79">
        <v>3</v>
      </c>
      <c r="AL96" s="77">
        <v>1</v>
      </c>
      <c r="AM96" s="76">
        <v>0</v>
      </c>
      <c r="AN96" s="76">
        <v>0</v>
      </c>
      <c r="AO96" s="77">
        <v>1</v>
      </c>
      <c r="AP96" s="76">
        <v>0</v>
      </c>
      <c r="AQ96" s="76">
        <v>0</v>
      </c>
      <c r="AR96" s="76">
        <v>0</v>
      </c>
      <c r="AS96" s="76">
        <v>0</v>
      </c>
      <c r="AT96" s="77">
        <v>1</v>
      </c>
      <c r="AU96" s="76">
        <v>0</v>
      </c>
      <c r="AV96" s="77">
        <v>1</v>
      </c>
      <c r="AW96" s="76">
        <v>0</v>
      </c>
      <c r="AX96" s="76">
        <v>0</v>
      </c>
      <c r="AY96" s="76">
        <v>0</v>
      </c>
      <c r="AZ96" s="81">
        <v>5</v>
      </c>
      <c r="BA96" s="77">
        <v>1</v>
      </c>
      <c r="BB96" s="76">
        <v>0</v>
      </c>
    </row>
    <row r="97" spans="8:54">
      <c r="H97" s="77">
        <v>1</v>
      </c>
      <c r="I97" s="77">
        <v>1</v>
      </c>
      <c r="J97" s="76">
        <v>0</v>
      </c>
      <c r="K97" s="77">
        <v>1</v>
      </c>
      <c r="L97" s="77">
        <v>1</v>
      </c>
      <c r="M97" s="77">
        <v>1</v>
      </c>
      <c r="N97" s="77">
        <v>1</v>
      </c>
      <c r="O97" s="77">
        <v>1</v>
      </c>
      <c r="P97" s="76">
        <v>0</v>
      </c>
      <c r="Q97" s="76">
        <v>0</v>
      </c>
      <c r="R97" s="76">
        <v>0</v>
      </c>
      <c r="S97" s="76">
        <v>0</v>
      </c>
      <c r="T97" s="76">
        <v>0</v>
      </c>
      <c r="U97" s="76">
        <v>0</v>
      </c>
      <c r="V97" s="76">
        <v>0</v>
      </c>
      <c r="W97" s="76">
        <v>0</v>
      </c>
      <c r="X97" s="76">
        <v>0</v>
      </c>
      <c r="Y97" s="76">
        <v>0</v>
      </c>
      <c r="Z97" s="76">
        <v>0</v>
      </c>
      <c r="AA97" s="76">
        <v>0</v>
      </c>
      <c r="AB97" s="78">
        <v>2</v>
      </c>
      <c r="AC97" s="79">
        <v>3</v>
      </c>
      <c r="AD97" s="76">
        <v>0</v>
      </c>
      <c r="AE97" s="77">
        <v>1</v>
      </c>
      <c r="AF97" s="77">
        <v>1</v>
      </c>
      <c r="AG97" s="77">
        <v>1</v>
      </c>
      <c r="AH97" s="76">
        <v>0</v>
      </c>
      <c r="AI97" s="77">
        <v>1</v>
      </c>
      <c r="AJ97" s="76">
        <v>0</v>
      </c>
      <c r="AK97" s="79">
        <v>3</v>
      </c>
      <c r="AL97" s="77">
        <v>1</v>
      </c>
      <c r="AM97" s="76">
        <v>0</v>
      </c>
      <c r="AN97" s="76">
        <v>0</v>
      </c>
      <c r="AO97" s="77">
        <v>1</v>
      </c>
      <c r="AP97" s="76">
        <v>0</v>
      </c>
      <c r="AQ97" s="76">
        <v>0</v>
      </c>
      <c r="AR97" s="76">
        <v>0</v>
      </c>
      <c r="AS97" s="76">
        <v>0</v>
      </c>
      <c r="AT97" s="77">
        <v>1</v>
      </c>
      <c r="AU97" s="76">
        <v>0</v>
      </c>
      <c r="AV97" s="77">
        <v>1</v>
      </c>
      <c r="AW97" s="76">
        <v>0</v>
      </c>
      <c r="AX97" s="76">
        <v>0</v>
      </c>
      <c r="AY97" s="76">
        <v>0</v>
      </c>
      <c r="AZ97" s="80">
        <v>4</v>
      </c>
      <c r="BA97" s="77">
        <v>1</v>
      </c>
      <c r="BB97" s="76">
        <v>0</v>
      </c>
    </row>
    <row r="98" spans="8:54"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7">
        <v>1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76">
        <v>0</v>
      </c>
      <c r="AE98" s="76">
        <v>0</v>
      </c>
      <c r="AF98" s="76">
        <v>0</v>
      </c>
      <c r="AG98" s="76">
        <v>0</v>
      </c>
      <c r="AH98" s="76">
        <v>0</v>
      </c>
      <c r="AI98" s="76">
        <v>0</v>
      </c>
      <c r="AJ98" s="76">
        <v>0</v>
      </c>
      <c r="AK98" s="77">
        <v>1</v>
      </c>
      <c r="AL98" s="76">
        <v>0</v>
      </c>
      <c r="AM98" s="76">
        <v>0</v>
      </c>
      <c r="AN98" s="76">
        <v>0</v>
      </c>
      <c r="AO98" s="77">
        <v>1</v>
      </c>
      <c r="AP98" s="76">
        <v>0</v>
      </c>
      <c r="AQ98" s="76">
        <v>0</v>
      </c>
      <c r="AR98" s="76">
        <v>0</v>
      </c>
      <c r="AS98" s="76">
        <v>0</v>
      </c>
      <c r="AT98" s="76">
        <v>0</v>
      </c>
      <c r="AU98" s="76">
        <v>0</v>
      </c>
      <c r="AV98" s="76">
        <v>0</v>
      </c>
      <c r="AW98" s="76">
        <v>0</v>
      </c>
      <c r="AX98" s="76">
        <v>0</v>
      </c>
      <c r="AY98" s="76">
        <v>0</v>
      </c>
      <c r="AZ98" s="77">
        <v>1</v>
      </c>
      <c r="BA98" s="76">
        <v>0</v>
      </c>
      <c r="BB98" s="76">
        <v>0</v>
      </c>
    </row>
    <row r="99" spans="8:54">
      <c r="H99" s="76">
        <v>0</v>
      </c>
      <c r="I99" s="76">
        <v>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7">
        <v>1</v>
      </c>
      <c r="Q99" s="76">
        <v>0</v>
      </c>
      <c r="R99" s="76">
        <v>0</v>
      </c>
      <c r="S99" s="76">
        <v>0</v>
      </c>
      <c r="T99" s="76">
        <v>0</v>
      </c>
      <c r="U99" s="77">
        <v>1</v>
      </c>
      <c r="V99" s="77">
        <v>1</v>
      </c>
      <c r="W99" s="76">
        <v>0</v>
      </c>
      <c r="X99" s="76">
        <v>0</v>
      </c>
      <c r="Y99" s="76">
        <v>0</v>
      </c>
      <c r="Z99" s="77">
        <v>1</v>
      </c>
      <c r="AA99" s="77">
        <v>1</v>
      </c>
      <c r="AB99" s="77">
        <v>1</v>
      </c>
      <c r="AC99" s="76">
        <v>0</v>
      </c>
      <c r="AD99" s="76">
        <v>0</v>
      </c>
      <c r="AE99" s="76">
        <v>0</v>
      </c>
      <c r="AF99" s="76">
        <v>0</v>
      </c>
      <c r="AG99" s="76">
        <v>0</v>
      </c>
      <c r="AH99" s="76">
        <v>0</v>
      </c>
      <c r="AI99" s="76">
        <v>0</v>
      </c>
      <c r="AJ99" s="76">
        <v>0</v>
      </c>
      <c r="AK99" s="77">
        <v>1</v>
      </c>
      <c r="AL99" s="76">
        <v>0</v>
      </c>
      <c r="AM99" s="76">
        <v>0</v>
      </c>
      <c r="AN99" s="76">
        <v>0</v>
      </c>
      <c r="AO99" s="76">
        <v>0</v>
      </c>
      <c r="AP99" s="76">
        <v>0</v>
      </c>
      <c r="AQ99" s="76">
        <v>0</v>
      </c>
      <c r="AR99" s="76">
        <v>0</v>
      </c>
      <c r="AS99" s="76">
        <v>0</v>
      </c>
      <c r="AT99" s="76">
        <v>0</v>
      </c>
      <c r="AU99" s="77">
        <v>1</v>
      </c>
      <c r="AV99" s="76">
        <v>0</v>
      </c>
      <c r="AW99" s="76">
        <v>0</v>
      </c>
      <c r="AX99" s="76">
        <v>0</v>
      </c>
      <c r="AY99" s="76">
        <v>0</v>
      </c>
      <c r="AZ99" s="76">
        <v>0</v>
      </c>
      <c r="BA99" s="76">
        <v>0</v>
      </c>
      <c r="BB99" s="77">
        <v>1</v>
      </c>
    </row>
    <row r="100" spans="8:54">
      <c r="H100" s="76">
        <v>0</v>
      </c>
      <c r="I100" s="76">
        <v>0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7">
        <v>1</v>
      </c>
      <c r="P100" s="77">
        <v>1</v>
      </c>
      <c r="Q100" s="76">
        <v>0</v>
      </c>
      <c r="R100" s="77">
        <v>1</v>
      </c>
      <c r="S100" s="76">
        <v>0</v>
      </c>
      <c r="T100" s="76">
        <v>0</v>
      </c>
      <c r="U100" s="76">
        <v>0</v>
      </c>
      <c r="V100" s="76">
        <v>0</v>
      </c>
      <c r="W100" s="76">
        <v>0</v>
      </c>
      <c r="X100" s="76">
        <v>0</v>
      </c>
      <c r="Y100" s="76">
        <v>0</v>
      </c>
      <c r="Z100" s="76">
        <v>0</v>
      </c>
      <c r="AA100" s="76">
        <v>0</v>
      </c>
      <c r="AB100" s="77">
        <v>1</v>
      </c>
      <c r="AC100" s="76">
        <v>0</v>
      </c>
      <c r="AD100" s="76">
        <v>0</v>
      </c>
      <c r="AE100" s="76">
        <v>0</v>
      </c>
      <c r="AF100" s="77">
        <v>1</v>
      </c>
      <c r="AG100" s="76">
        <v>0</v>
      </c>
      <c r="AH100" s="77">
        <v>1</v>
      </c>
      <c r="AI100" s="76">
        <v>0</v>
      </c>
      <c r="AJ100" s="76">
        <v>0</v>
      </c>
      <c r="AK100" s="76">
        <v>0</v>
      </c>
      <c r="AL100" s="76">
        <v>0</v>
      </c>
      <c r="AM100" s="76">
        <v>0</v>
      </c>
      <c r="AN100" s="76">
        <v>0</v>
      </c>
      <c r="AO100" s="76">
        <v>0</v>
      </c>
      <c r="AP100" s="76">
        <v>0</v>
      </c>
      <c r="AQ100" s="76">
        <v>0</v>
      </c>
      <c r="AR100" s="76">
        <v>0</v>
      </c>
      <c r="AS100" s="76">
        <v>0</v>
      </c>
      <c r="AT100" s="76">
        <v>0</v>
      </c>
      <c r="AU100" s="77">
        <v>1</v>
      </c>
      <c r="AV100" s="76">
        <v>0</v>
      </c>
      <c r="AW100" s="76">
        <v>0</v>
      </c>
      <c r="AX100" s="76">
        <v>0</v>
      </c>
      <c r="AY100" s="76">
        <v>0</v>
      </c>
      <c r="AZ100" s="76">
        <v>0</v>
      </c>
      <c r="BA100" s="76">
        <v>0</v>
      </c>
      <c r="BB100" s="76">
        <v>0</v>
      </c>
    </row>
    <row r="101" spans="8:54">
      <c r="H101" s="76">
        <v>0</v>
      </c>
      <c r="I101" s="76">
        <v>0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6">
        <v>0</v>
      </c>
      <c r="P101" s="76">
        <v>0</v>
      </c>
      <c r="Q101" s="76">
        <v>0</v>
      </c>
      <c r="R101" s="76">
        <v>0</v>
      </c>
      <c r="S101" s="76">
        <v>0</v>
      </c>
      <c r="T101" s="76">
        <v>0</v>
      </c>
      <c r="U101" s="77">
        <v>1</v>
      </c>
      <c r="V101" s="77">
        <v>1</v>
      </c>
      <c r="W101" s="76">
        <v>0</v>
      </c>
      <c r="X101" s="76">
        <v>0</v>
      </c>
      <c r="Y101" s="76">
        <v>0</v>
      </c>
      <c r="Z101" s="77">
        <v>1</v>
      </c>
      <c r="AA101" s="77">
        <v>1</v>
      </c>
      <c r="AB101" s="78">
        <v>2</v>
      </c>
      <c r="AC101" s="78">
        <v>2</v>
      </c>
      <c r="AD101" s="78">
        <v>2</v>
      </c>
      <c r="AE101" s="76">
        <v>0</v>
      </c>
      <c r="AF101" s="76">
        <v>0</v>
      </c>
      <c r="AG101" s="76">
        <v>0</v>
      </c>
      <c r="AH101" s="76">
        <v>0</v>
      </c>
      <c r="AI101" s="76">
        <v>0</v>
      </c>
      <c r="AJ101" s="76">
        <v>0</v>
      </c>
      <c r="AK101" s="76">
        <v>0</v>
      </c>
      <c r="AL101" s="76">
        <v>0</v>
      </c>
      <c r="AM101" s="76">
        <v>0</v>
      </c>
      <c r="AN101" s="76">
        <v>0</v>
      </c>
      <c r="AO101" s="76">
        <v>0</v>
      </c>
      <c r="AP101" s="76">
        <v>0</v>
      </c>
      <c r="AQ101" s="76">
        <v>0</v>
      </c>
      <c r="AR101" s="76">
        <v>0</v>
      </c>
      <c r="AS101" s="76">
        <v>0</v>
      </c>
      <c r="AT101" s="80">
        <v>4</v>
      </c>
      <c r="AU101" s="76">
        <v>0</v>
      </c>
      <c r="AV101" s="76">
        <v>0</v>
      </c>
      <c r="AW101" s="76">
        <v>0</v>
      </c>
      <c r="AX101" s="76">
        <v>0</v>
      </c>
      <c r="AY101" s="76">
        <v>0</v>
      </c>
      <c r="AZ101" s="76">
        <v>0</v>
      </c>
      <c r="BA101" s="76">
        <v>0</v>
      </c>
      <c r="BB101" s="76">
        <v>0</v>
      </c>
    </row>
    <row r="102" spans="8:54">
      <c r="H102" s="76">
        <v>0</v>
      </c>
      <c r="I102" s="76">
        <v>0</v>
      </c>
      <c r="J102" s="76">
        <v>0</v>
      </c>
      <c r="K102" s="76">
        <v>0</v>
      </c>
      <c r="L102" s="76">
        <v>0</v>
      </c>
      <c r="M102" s="76">
        <v>0</v>
      </c>
      <c r="N102" s="76">
        <v>0</v>
      </c>
      <c r="O102" s="76">
        <v>0</v>
      </c>
      <c r="P102" s="76">
        <v>0</v>
      </c>
      <c r="Q102" s="76">
        <v>0</v>
      </c>
      <c r="R102" s="76">
        <v>0</v>
      </c>
      <c r="S102" s="76">
        <v>0</v>
      </c>
      <c r="T102" s="76">
        <v>0</v>
      </c>
      <c r="U102" s="76">
        <v>0</v>
      </c>
      <c r="V102" s="76">
        <v>0</v>
      </c>
      <c r="W102" s="76">
        <v>0</v>
      </c>
      <c r="X102" s="76">
        <v>0</v>
      </c>
      <c r="Y102" s="76">
        <v>0</v>
      </c>
      <c r="Z102" s="76">
        <v>0</v>
      </c>
      <c r="AA102" s="76">
        <v>0</v>
      </c>
      <c r="AB102" s="77">
        <v>1</v>
      </c>
      <c r="AC102" s="77">
        <v>1</v>
      </c>
      <c r="AD102" s="76">
        <v>0</v>
      </c>
      <c r="AE102" s="76">
        <v>0</v>
      </c>
      <c r="AF102" s="76">
        <v>0</v>
      </c>
      <c r="AG102" s="76">
        <v>0</v>
      </c>
      <c r="AH102" s="76">
        <v>0</v>
      </c>
      <c r="AI102" s="76">
        <v>0</v>
      </c>
      <c r="AJ102" s="76">
        <v>0</v>
      </c>
      <c r="AK102" s="77">
        <v>1</v>
      </c>
      <c r="AL102" s="76">
        <v>0</v>
      </c>
      <c r="AM102" s="76">
        <v>0</v>
      </c>
      <c r="AN102" s="76">
        <v>0</v>
      </c>
      <c r="AO102" s="76">
        <v>0</v>
      </c>
      <c r="AP102" s="76">
        <v>0</v>
      </c>
      <c r="AQ102" s="76">
        <v>0</v>
      </c>
      <c r="AR102" s="76">
        <v>0</v>
      </c>
      <c r="AS102" s="76">
        <v>0</v>
      </c>
      <c r="AT102" s="76">
        <v>0</v>
      </c>
      <c r="AU102" s="76">
        <v>0</v>
      </c>
      <c r="AV102" s="76">
        <v>0</v>
      </c>
      <c r="AW102" s="76">
        <v>0</v>
      </c>
      <c r="AX102" s="76">
        <v>0</v>
      </c>
      <c r="AY102" s="76">
        <v>0</v>
      </c>
      <c r="AZ102" s="77">
        <v>1</v>
      </c>
      <c r="BA102" s="76">
        <v>0</v>
      </c>
      <c r="BB102" s="76">
        <v>0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E3315-5CBC-4AB9-A4ED-28707DE2A21F}">
  <dimension ref="A1:BH66"/>
  <sheetViews>
    <sheetView workbookViewId="0">
      <selection activeCell="A2" sqref="A2"/>
    </sheetView>
  </sheetViews>
  <sheetFormatPr baseColWidth="10" defaultColWidth="11.44140625" defaultRowHeight="14.4"/>
  <cols>
    <col min="1" max="46" width="3.6640625" bestFit="1" customWidth="1"/>
    <col min="47" max="60" width="3.6640625" customWidth="1"/>
  </cols>
  <sheetData>
    <row r="1" spans="1:60" ht="18.600000000000001" customHeight="1">
      <c r="A1" s="12" t="s">
        <v>545</v>
      </c>
    </row>
    <row r="2" spans="1:60" ht="311.10000000000002" customHeight="1">
      <c r="A2" s="21" t="str">
        <f t="array" ref="A2:BH2">Measure_62443_3_3[[#Headers],[G 0.13 Interception of Compromising Interference Signals]:[OPS.1.1.3.8 Manipulation of data and tools during patch and change management]]</f>
        <v>G 0.13 Interception of Compromising Interference Signals</v>
      </c>
      <c r="B2" s="21" t="str">
        <v xml:space="preserve">G 0.14 Interception of Information / Espionage </v>
      </c>
      <c r="C2" s="21" t="str">
        <v>G 0.15 Eavesdropping</v>
      </c>
      <c r="D2" s="21" t="str">
        <v>G 0.16 Theft of Devices, Storage Media and Documents</v>
      </c>
      <c r="E2" s="21" t="str">
        <v>G 0.17 Loss of Devices, Storage Media and Documents</v>
      </c>
      <c r="F2" s="21" t="str">
        <v>G 0.19 Disclosure of Sensitive Information</v>
      </c>
      <c r="G2" s="21" t="str">
        <v>G 0.20 Information or Products from an Unreliable Source</v>
      </c>
      <c r="H2" s="21" t="str">
        <v>G 0.21 Manipulation of Hardware or Software</v>
      </c>
      <c r="I2" s="21" t="str">
        <v>G 0.22 Manipulation of Information</v>
      </c>
      <c r="J2" s="21" t="str">
        <v>G 0.23 Unauthorised Access to IT Systems</v>
      </c>
      <c r="K2" s="21" t="str">
        <v>G 0.24 Destruction of Devices or Storage Media</v>
      </c>
      <c r="L2" s="21" t="str">
        <v>G 0.28 Software Vulnerabilities or Errors</v>
      </c>
      <c r="M2" s="21" t="str">
        <v>G 0.30 Unauthorised Use or Administration of Devices and Systems</v>
      </c>
      <c r="N2" s="21" t="str">
        <v>G 0.31 Incorrect Use or Administration of Devices and Systems</v>
      </c>
      <c r="O2" s="21" t="str">
        <v>G 0.32 Misuse of Authorisation</v>
      </c>
      <c r="P2" s="21" t="str">
        <v>G 0.35 Coercion, Blackmail or Corruption</v>
      </c>
      <c r="Q2" s="21" t="str">
        <v>G 0.36 Identity Theft</v>
      </c>
      <c r="R2" s="21" t="str">
        <v>G 0.37 Repudiation of Actions</v>
      </c>
      <c r="S2" s="21" t="str">
        <v>G 0.38 Misuse of Personal Information</v>
      </c>
      <c r="T2" s="21" t="str">
        <v>G 0.39 Malware</v>
      </c>
      <c r="U2" s="21" t="str">
        <v>G 0.40 Denial of Service</v>
      </c>
      <c r="V2" s="21" t="str">
        <v>G 0.42 Social Engineering</v>
      </c>
      <c r="W2" s="21" t="str">
        <v>G 0.43 Attack with Specially Crafted Messages</v>
      </c>
      <c r="X2" s="21" t="str">
        <v>G 0.44 Unauthorised Entry to Premises</v>
      </c>
      <c r="Y2" s="21" t="str">
        <v>G 0.45 Data Loss</v>
      </c>
      <c r="Z2" s="21" t="str">
        <v>G 0.46 Loss of Integrity of Sensitive Information</v>
      </c>
      <c r="AA2" s="21" t="str">
        <v>G 0.47 Harmful Side Effects of IT-Supported Attacks</v>
      </c>
      <c r="AB2" s="21" t="str">
        <v>IND.1.2 Insufficient integration of OT into the security organisation</v>
      </c>
      <c r="AC2" s="21" t="str">
        <v>IND.1.3 Insufficient integration of OT into operational processes</v>
      </c>
      <c r="AD2" s="21" t="str">
        <v>IND.1.4 Insufficient access protection</v>
      </c>
      <c r="AE2" s="21" t="str">
        <v>IND.1.5 Insecure project planning process/application development process</v>
      </c>
      <c r="AF2" s="21" t="str">
        <v>IND.1.6 Insecure administration concept and remote administration</v>
      </c>
      <c r="AG2" s="21" t="str">
        <v>IND.1.7 Insufficient monitoring and detection procedures</v>
      </c>
      <c r="AH2" s="21" t="str">
        <v>IND.1.8 Insufficient test concept</v>
      </c>
      <c r="AI2" s="21" t="str">
        <v>IND.1.9 Insufficient life cycle concepts</v>
      </c>
      <c r="AJ2" s="21" t="str">
        <v>IND.1.10 Insufficient security requirements for procurement</v>
      </c>
      <c r="AK2" s="21" t="str">
        <v>IND.1.11 Use of insecure protocols</v>
      </c>
      <c r="AL2" s="21" t="str">
        <v>IND.1.12 Insecure configurations of components</v>
      </c>
      <c r="AM2" s="21" t="str">
        <v>IND.1.13 Dependencies of OT on IT networks</v>
      </c>
      <c r="AN2" s="21" t="str">
        <v>IND.2.1.2 Insufficient user and authorisation management</v>
      </c>
      <c r="AO2" s="21" t="str">
        <v>IND.2.1.3 Insufficient logging</v>
      </c>
      <c r="AP2" s="21" t="str">
        <v>IND.2.1.9 Manipulated firmware</v>
      </c>
      <c r="AQ2" s="21" t="str">
        <v>IND.2.2.1 Incomplete documentation</v>
      </c>
      <c r="AR2" s="21" t="str">
        <v>IND.3.2.1 Incompletely documented remote maintenance access in the OT</v>
      </c>
      <c r="AS2" s="21" t="str">
        <v>IND.3.2.2 Insufficient availability due to dependencies on office and building IT</v>
      </c>
      <c r="AT2" s="21" t="str">
        <v>IND.3.2.3 Insufficient regulations for the use of OT remote maintenance access</v>
      </c>
      <c r="AU2" s="21" t="str">
        <v>IND.3.2.4 Insufficient human oversight over OT remote maintenance sessions</v>
      </c>
      <c r="AV2" s="21" t="str">
        <v>IND.3.2.5 Direct IP-based access to systems from insecure zones</v>
      </c>
      <c r="AW2" s="21" t="str">
        <v>IND.3.2.6 Insecure alternative OT remote maintenance access in the event of faults</v>
      </c>
      <c r="AX2" s="21" t="str">
        <v>IND.3.2.7 Insecure design of OT remote maintenance accesses</v>
      </c>
      <c r="AY2" s="21" t="str">
        <v>IND.3.2.8 Outdated technical concepts for OT remote maintenance access</v>
      </c>
      <c r="AZ2" s="21" t="str">
        <v>CON.1.1 Insufficient key management for encryption</v>
      </c>
      <c r="BA2" s="21" t="str">
        <v>CON.1.8 Compromise of cryptographic keys</v>
      </c>
      <c r="BB2" s="21" t="str">
        <v>CON.1.9 Forged certificates</v>
      </c>
      <c r="BC2" s="21" t="str">
        <v>CON.3.1 Missing data backup</v>
      </c>
      <c r="BD2" s="21" t="str">
        <v>CON.3.2 Missing recovery tests</v>
      </c>
      <c r="BE2" s="21" t="str">
        <v>OPS.1.1.3.5 Problems with the automated distribution of patches and changes</v>
      </c>
      <c r="BF2" s="21" t="str">
        <v>OPS.1.1.3.6 Insufficient recovery options for patch and change management</v>
      </c>
      <c r="BG2" s="21" t="str">
        <v>OPS.1.1.3.8 Manipulation of data and tools during patch and change management</v>
      </c>
      <c r="BH2" s="21" t="e">
        <v>#N/A</v>
      </c>
    </row>
    <row r="3" spans="1:60">
      <c r="A3" t="str">
        <f t="array" ref="A3">_xlfn.TEXTJOIN("; ",TRUE,IF(Measure_62443_3_3[G 0.13 Interception of Compromising Interference Signals]="P",Measure_62443_3_3[[Official ID (62443-3-3 -2013)]:[Official ID (62443-3-3 -2013)]],""))</f>
        <v/>
      </c>
      <c r="B3" t="str">
        <f t="array" ref="B3">_xlfn.TEXTJOIN("; ",TRUE,IF(Measure_62443_3_3[G 0.14 Interception of Information / Espionage ]="P",Measure_62443_3_3[[Official ID (62443-3-3 -2013)]:[Official ID (62443-3-3 -2013)]],""))</f>
        <v/>
      </c>
      <c r="C3" t="str">
        <f t="array" ref="C3">_xlfn.TEXTJOIN("; ",TRUE,IF(Measure_62443_3_3[G 0.15 Eavesdropping]="P",Measure_62443_3_3[[Official ID (62443-3-3 -2013)]:[Official ID (62443-3-3 -2013)]],""))</f>
        <v/>
      </c>
      <c r="D3" t="str">
        <f t="array" ref="D3">_xlfn.TEXTJOIN("; ",TRUE,IF(Measure_62443_3_3[G 0.16 Theft of Devices, Storage Media and Documents]="P",Measure_62443_3_3[[Official ID (62443-3-3 -2013)]:[Official ID (62443-3-3 -2013)]],""))</f>
        <v/>
      </c>
      <c r="E3" t="str">
        <f t="array" ref="E3">_xlfn.TEXTJOIN("; ",TRUE,IF(Measure_62443_3_3[G 0.17 Loss of Devices, Storage Media and Documents]="P",Measure_62443_3_3[[Official ID (62443-3-3 -2013)]:[Official ID (62443-3-3 -2013)]],""))</f>
        <v/>
      </c>
      <c r="F3" t="str">
        <f t="array" ref="F3">_xlfn.TEXTJOIN("; ",TRUE,IF(Measure_62443_3_3[G 0.19 Disclosure of Sensitive Information]="P",Measure_62443_3_3[[Official ID (62443-3-3 -2013)]:[Official ID (62443-3-3 -2013)]],""))</f>
        <v/>
      </c>
      <c r="G3" t="str">
        <f t="array" ref="G3">_xlfn.TEXTJOIN("; ",TRUE,IF(Measure_62443_3_3[G 0.20 Information or Products from an Unreliable Source]="P",Measure_62443_3_3[[Official ID (62443-3-3 -2013)]:[Official ID (62443-3-3 -2013)]],""))</f>
        <v/>
      </c>
      <c r="H3" t="str">
        <f t="array" ref="H3">_xlfn.TEXTJOIN("; ",TRUE,IF(Measure_62443_3_3[G 0.21 Manipulation of Hardware or Software]="P",Measure_62443_3_3[[Official ID (62443-3-3 -2013)]:[Official ID (62443-3-3 -2013)]],""))</f>
        <v/>
      </c>
      <c r="I3" t="str">
        <f t="array" ref="I3">_xlfn.TEXTJOIN("; ",TRUE,IF(Measure_62443_3_3[G 0.22 Manipulation of Information]="P",Measure_62443_3_3[[Official ID (62443-3-3 -2013)]:[Official ID (62443-3-3 -2013)]],""))</f>
        <v/>
      </c>
      <c r="J3" t="str">
        <f t="array" ref="J3">_xlfn.TEXTJOIN("; ",TRUE,IF(Measure_62443_3_3[G 0.23 Unauthorised Access to IT Systems]="P",Measure_62443_3_3[[Official ID (62443-3-3 -2013)]:[Official ID (62443-3-3 -2013)]],""))</f>
        <v/>
      </c>
      <c r="K3" t="str">
        <f t="array" ref="K3">_xlfn.TEXTJOIN("; ",TRUE,IF(Measure_62443_3_3[G 0.24 Destruction of Devices or Storage Media]="P",Measure_62443_3_3[[Official ID (62443-3-3 -2013)]:[Official ID (62443-3-3 -2013)]],""))</f>
        <v/>
      </c>
      <c r="L3" t="str">
        <f t="array" ref="L3">_xlfn.TEXTJOIN("; ",TRUE,IF(Measure_62443_3_3[G 0.28 Software Vulnerabilities or Errors]="P",Measure_62443_3_3[[Official ID (62443-3-3 -2013)]:[Official ID (62443-3-3 -2013)]],""))</f>
        <v/>
      </c>
      <c r="M3" t="str">
        <f t="array" ref="M3">_xlfn.TEXTJOIN("; ",TRUE,IF(Measure_62443_3_3[G 0.30 Unauthorised Use or Administration of Devices and Systems]="P",Measure_62443_3_3[[Official ID (62443-3-3 -2013)]:[Official ID (62443-3-3 -2013)]],""))</f>
        <v/>
      </c>
      <c r="N3" t="str">
        <f t="array" ref="N3">_xlfn.TEXTJOIN("; ",TRUE,IF(Measure_62443_3_3[G 0.31 Incorrect Use or Administration of Devices and Systems]="P",Measure_62443_3_3[[Official ID (62443-3-3 -2013)]:[Official ID (62443-3-3 -2013)]],""))</f>
        <v/>
      </c>
      <c r="O3" t="str">
        <f t="array" ref="O3">_xlfn.TEXTJOIN("; ",TRUE,IF(Measure_62443_3_3[G 0.32 Misuse of Authorisation]="P",Measure_62443_3_3[[Official ID (62443-3-3 -2013)]:[Official ID (62443-3-3 -2013)]],""))</f>
        <v/>
      </c>
      <c r="P3" t="str">
        <f t="array" ref="P3">_xlfn.TEXTJOIN("; ",TRUE,IF(Measure_62443_3_3[G 0.35 Coercion, Blackmail or Corruption]="P",Measure_62443_3_3[[Official ID (62443-3-3 -2013)]:[Official ID (62443-3-3 -2013)]],""))</f>
        <v/>
      </c>
      <c r="Q3" t="str">
        <f t="array" ref="Q3">_xlfn.TEXTJOIN("; ",TRUE,IF(Measure_62443_3_3[G 0.36 Identity Theft]="P",Measure_62443_3_3[[Official ID (62443-3-3 -2013)]:[Official ID (62443-3-3 -2013)]],""))</f>
        <v/>
      </c>
      <c r="R3" t="str">
        <f t="array" ref="R3">_xlfn.TEXTJOIN("; ",TRUE,IF(Measure_62443_3_3[G 0.37 Repudiation of Actions]="P",Measure_62443_3_3[[Official ID (62443-3-3 -2013)]:[Official ID (62443-3-3 -2013)]],""))</f>
        <v/>
      </c>
      <c r="S3" t="str">
        <f t="array" ref="S3">_xlfn.TEXTJOIN("; ",TRUE,IF(Measure_62443_3_3[G 0.38 Misuse of Personal Information]="P",Measure_62443_3_3[[Official ID (62443-3-3 -2013)]:[Official ID (62443-3-3 -2013)]],""))</f>
        <v/>
      </c>
      <c r="T3" t="str">
        <f t="array" ref="T3">_xlfn.TEXTJOIN("; ",TRUE,IF(Measure_62443_3_3[G 0.39 Malware]="P",Measure_62443_3_3[[Official ID (62443-3-3 -2013)]:[Official ID (62443-3-3 -2013)]],""))</f>
        <v/>
      </c>
      <c r="U3" t="str">
        <f t="array" ref="U3">_xlfn.TEXTJOIN("; ",TRUE,IF(Measure_62443_3_3[G 0.40 Denial of Service]="P",Measure_62443_3_3[[Official ID (62443-3-3 -2013)]:[Official ID (62443-3-3 -2013)]],""))</f>
        <v/>
      </c>
      <c r="V3" t="str">
        <f t="array" ref="V3">_xlfn.TEXTJOIN("; ",TRUE,IF(Measure_62443_3_3[G 0.42 Social Engineering]="P",Measure_62443_3_3[[Official ID (62443-3-3 -2013)]:[Official ID (62443-3-3 -2013)]],""))</f>
        <v/>
      </c>
      <c r="W3" t="str">
        <f t="array" ref="W3">_xlfn.TEXTJOIN("; ",TRUE,IF(Measure_62443_3_3[G 0.43 Attack with Specially Crafted Messages]="P",Measure_62443_3_3[[Official ID (62443-3-3 -2013)]:[Official ID (62443-3-3 -2013)]],""))</f>
        <v/>
      </c>
      <c r="X3" t="str">
        <f t="array" ref="X3">_xlfn.TEXTJOIN("; ",TRUE,IF(Measure_62443_3_3[G 0.44 Unauthorised Entry to Premises]="P",Measure_62443_3_3[[Official ID (62443-3-3 -2013)]:[Official ID (62443-3-3 -2013)]],""))</f>
        <v/>
      </c>
      <c r="Y3" t="str">
        <f t="array" ref="Y3">_xlfn.TEXTJOIN("; ",TRUE,IF(Measure_62443_3_3[G 0.45 Data Loss]="P",Measure_62443_3_3[[Official ID (62443-3-3 -2013)]:[Official ID (62443-3-3 -2013)]],""))</f>
        <v/>
      </c>
      <c r="Z3" t="str">
        <f t="array" ref="Z3">_xlfn.TEXTJOIN("; ",TRUE,IF(Measure_62443_3_3[G 0.46 Loss of Integrity of Sensitive Information]="P",Measure_62443_3_3[[Official ID (62443-3-3 -2013)]:[Official ID (62443-3-3 -2013)]],""))</f>
        <v/>
      </c>
      <c r="AA3" t="str">
        <f t="array" ref="AA3">_xlfn.TEXTJOIN("; ",TRUE,IF(Measure_62443_3_3[G 0.47 Harmful Side Effects of IT-Supported Attacks]="P",Measure_62443_3_3[[Official ID (62443-3-3 -2013)]:[Official ID (62443-3-3 -2013)]],""))</f>
        <v/>
      </c>
      <c r="AB3" t="str">
        <f t="array" ref="AB3">_xlfn.TEXTJOIN("; ",TRUE,IF(Measure_62443_3_3[IND.1.2 Insufficient integration of OT into the security organisation]="P",Measure_62443_3_3[[Official ID (62443-3-3 -2013)]:[Official ID (62443-3-3 -2013)]],""))</f>
        <v/>
      </c>
      <c r="AC3" t="str">
        <f t="array" ref="AC3">_xlfn.TEXTJOIN("; ",TRUE,IF(Measure_62443_3_3[IND.1.3 Insufficient integration of OT into operational processes]="P",Measure_62443_3_3[[Official ID (62443-3-3 -2013)]:[Official ID (62443-3-3 -2013)]],""))</f>
        <v/>
      </c>
      <c r="AD3" t="str">
        <f t="array" ref="AD3">_xlfn.TEXTJOIN("; ",TRUE,IF(Measure_62443_3_3[IND.1.4 Insufficient access protection]="P",Measure_62443_3_3[[Official ID (62443-3-3 -2013)]:[Official ID (62443-3-3 -2013)]],""))</f>
        <v/>
      </c>
      <c r="AE3" t="str">
        <f t="array" ref="AE3">_xlfn.TEXTJOIN("; ",TRUE,IF(Measure_62443_3_3[IND.1.5 Insecure project planning process/application development process]="P",Measure_62443_3_3[[Official ID (62443-3-3 -2013)]:[Official ID (62443-3-3 -2013)]],""))</f>
        <v/>
      </c>
      <c r="AF3" t="str">
        <f t="array" ref="AF3">_xlfn.TEXTJOIN("; ",TRUE,IF(Measure_62443_3_3[IND.1.6 Insecure administration concept and remote administration]="P",Measure_62443_3_3[[Official ID (62443-3-3 -2013)]:[Official ID (62443-3-3 -2013)]],""))</f>
        <v/>
      </c>
      <c r="AG3" t="str">
        <f t="array" ref="AG3">_xlfn.TEXTJOIN("; ",TRUE,IF(Measure_62443_3_3[IND.1.7 Insufficient monitoring and detection procedures]="P",Measure_62443_3_3[[Official ID (62443-3-3 -2013)]:[Official ID (62443-3-3 -2013)]],""))</f>
        <v/>
      </c>
      <c r="AH3" t="str">
        <f t="array" ref="AH3">_xlfn.TEXTJOIN("; ",TRUE,IF(Measure_62443_3_3[IND.1.8 Insufficient test concept]="P",Measure_62443_3_3[[Official ID (62443-3-3 -2013)]:[Official ID (62443-3-3 -2013)]],""))</f>
        <v/>
      </c>
      <c r="AI3" t="str">
        <f t="array" ref="AI3">_xlfn.TEXTJOIN("; ",TRUE,IF(Measure_62443_3_3[IND.1.9 Insufficient life cycle concepts]="P",Measure_62443_3_3[[Official ID (62443-3-3 -2013)]:[Official ID (62443-3-3 -2013)]],""))</f>
        <v/>
      </c>
      <c r="AJ3" t="str">
        <f t="array" ref="AJ3">_xlfn.TEXTJOIN("; ",TRUE,IF(Measure_62443_3_3[IND.1.10 Insufficient security requirements for procurement]="P",Measure_62443_3_3[[Official ID (62443-3-3 -2013)]:[Official ID (62443-3-3 -2013)]],""))</f>
        <v/>
      </c>
      <c r="AK3" t="str">
        <f t="array" ref="AK3">_xlfn.TEXTJOIN("; ",TRUE,IF(Measure_62443_3_3[IND.1.11 Use of insecure protocols]="P",Measure_62443_3_3[[Official ID (62443-3-3 -2013)]:[Official ID (62443-3-3 -2013)]],""))</f>
        <v/>
      </c>
      <c r="AL3" t="str">
        <f t="array" ref="AL3">_xlfn.TEXTJOIN("; ",TRUE,IF(Measure_62443_3_3[IND.1.12 Insecure configurations of components]="P",Measure_62443_3_3[[Official ID (62443-3-3 -2013)]:[Official ID (62443-3-3 -2013)]],""))</f>
        <v/>
      </c>
      <c r="AM3" t="str">
        <f t="array" ref="AM3">_xlfn.TEXTJOIN("; ",TRUE,IF(Measure_62443_3_3[IND.1.13 Dependencies of OT on IT networks]="P",Measure_62443_3_3[[Official ID (62443-3-3 -2013)]:[Official ID (62443-3-3 -2013)]],""))</f>
        <v/>
      </c>
      <c r="AN3" t="str">
        <f t="array" ref="AN3">_xlfn.TEXTJOIN("; ",TRUE,IF(Measure_62443_3_3[IND.2.1.2 Insufficient user and authorisation management]="P",Measure_62443_3_3[[Official ID (62443-3-3 -2013)]:[Official ID (62443-3-3 -2013)]],""))</f>
        <v/>
      </c>
      <c r="AO3" t="str">
        <f t="array" ref="AO3">_xlfn.TEXTJOIN("; ",TRUE,IF(Measure_62443_3_3[IND.2.1.3 Insufficient logging]="P",Measure_62443_3_3[[Official ID (62443-3-3 -2013)]:[Official ID (62443-3-3 -2013)]],""))</f>
        <v/>
      </c>
      <c r="AP3" t="str">
        <f t="array" ref="AP3">_xlfn.TEXTJOIN("; ",TRUE,IF(Measure_62443_3_3[IND.2.1.9 Manipulated firmware]="P",Measure_62443_3_3[[Official ID (62443-3-3 -2013)]:[Official ID (62443-3-3 -2013)]],""))</f>
        <v/>
      </c>
      <c r="AQ3" t="str">
        <f t="array" ref="AQ3">_xlfn.TEXTJOIN("; ",TRUE,IF(Measure_62443_3_3[IND.2.2.1 Incomplete documentation]="P",Measure_62443_3_3[[Official ID (62443-3-3 -2013)]:[Official ID (62443-3-3 -2013)]],""))</f>
        <v/>
      </c>
      <c r="AR3" t="str">
        <f t="array" ref="AR3">_xlfn.TEXTJOIN("; ",TRUE,IF(Measure_62443_3_3[IND.3.2.1 Incompletely documented remote maintenance access in the OT]="P",Measure_62443_3_3[[Official ID (62443-3-3 -2013)]:[Official ID (62443-3-3 -2013)]],""))</f>
        <v/>
      </c>
      <c r="AS3" t="str">
        <f t="array" ref="AS3">_xlfn.TEXTJOIN("; ",TRUE,IF(Measure_62443_3_3[IND.3.2.2 Insufficient availability due to dependencies on office and building IT]="P",Measure_62443_3_3[[Official ID (62443-3-3 -2013)]:[Official ID (62443-3-3 -2013)]],""))</f>
        <v/>
      </c>
      <c r="AT3" t="str">
        <f t="array" ref="AT3">_xlfn.TEXTJOIN("; ",TRUE,IF(Measure_62443_3_3[IND.3.2.3 Insufficient regulations for the use of OT remote maintenance access]="P",Measure_62443_3_3[[Official ID (62443-3-3 -2013)]:[Official ID (62443-3-3 -2013)]],""))</f>
        <v/>
      </c>
      <c r="AU3" t="str">
        <f t="array" ref="AU3">_xlfn.TEXTJOIN("; ",TRUE,IF(Measure_62443_3_3[IND.3.2.4 Insufficient human oversight over OT remote maintenance sessions]="P",Measure_62443_3_3[[Official ID (62443-3-3 -2013)]:[Official ID (62443-3-3 -2013)]],""))</f>
        <v/>
      </c>
      <c r="AV3" t="str">
        <f t="array" ref="AV3">_xlfn.TEXTJOIN("; ",TRUE,IF(Measure_62443_3_3[IND.3.2.5 Direct IP-based access to systems from insecure zones]="P",Measure_62443_3_3[[Official ID (62443-3-3 -2013)]:[Official ID (62443-3-3 -2013)]],""))</f>
        <v/>
      </c>
      <c r="AW3" t="str">
        <f t="array" ref="AW3">_xlfn.TEXTJOIN("; ",TRUE,IF(Measure_62443_3_3[IND.3.2.6 Insecure alternative OT remote maintenance access in the event of faults]="P",Measure_62443_3_3[[Official ID (62443-3-3 -2013)]:[Official ID (62443-3-3 -2013)]],""))</f>
        <v/>
      </c>
      <c r="AX3" t="str">
        <f t="array" ref="AX3">_xlfn.TEXTJOIN("; ",TRUE,IF(Measure_62443_3_3[IND.3.2.7 Insecure design of OT remote maintenance accesses]="P",Measure_62443_3_3[[Official ID (62443-3-3 -2013)]:[Official ID (62443-3-3 -2013)]],""))</f>
        <v/>
      </c>
      <c r="AY3" t="str">
        <f t="array" ref="AY3">_xlfn.TEXTJOIN("; ",TRUE,IF(Measure_62443_3_3[IND.3.2.8 Outdated technical concepts for OT remote maintenance access]="P",Measure_62443_3_3[[Official ID (62443-3-3 -2013)]:[Official ID (62443-3-3 -2013)]],""))</f>
        <v/>
      </c>
      <c r="AZ3" t="str">
        <f t="array" ref="AZ3">_xlfn.TEXTJOIN("; ",TRUE,IF(Measure_62443_3_3[CON.1.1 Insufficient key management for encryption]="P",Measure_62443_3_3[[Official ID (62443-3-3 -2013)]:[Official ID (62443-3-3 -2013)]],""))</f>
        <v/>
      </c>
      <c r="BA3" t="str">
        <f t="array" ref="BA3">_xlfn.TEXTJOIN("; ",TRUE,IF(Measure_62443_3_3[CON.1.8 Compromise of cryptographic keys]="P",Measure_62443_3_3[[Official ID (62443-3-3 -2013)]:[Official ID (62443-3-3 -2013)]],""))</f>
        <v/>
      </c>
      <c r="BB3" t="str">
        <f t="array" ref="BB3">_xlfn.TEXTJOIN("; ",TRUE,IF(Measure_62443_3_3[CON.1.9 Forged certificates]="P",Measure_62443_3_3[[Official ID (62443-3-3 -2013)]:[Official ID (62443-3-3 -2013)]],""))</f>
        <v/>
      </c>
      <c r="BC3" t="str">
        <f t="array" ref="BC3">_xlfn.TEXTJOIN("; ",TRUE,IF(Measure_62443_3_3[CON.3.1 Missing data backup]="P",Measure_62443_3_3[[Official ID (62443-3-3 -2013)]:[Official ID (62443-3-3 -2013)]],""))</f>
        <v/>
      </c>
      <c r="BD3" t="str">
        <f t="array" ref="BD3">_xlfn.TEXTJOIN("; ",TRUE,IF(Measure_62443_3_3[CON.3.2 Missing recovery tests]="P",Measure_62443_3_3[[Official ID (62443-3-3 -2013)]:[Official ID (62443-3-3 -2013)]],""))</f>
        <v/>
      </c>
      <c r="BE3" t="str">
        <f t="array" ref="BE3">_xlfn.TEXTJOIN("; ",TRUE,IF(Measure_62443_3_3[OPS.1.1.3.5 Problems with the automated distribution of patches and changes]="P",Measure_62443_3_3[[Official ID (62443-3-3 -2013)]:[Official ID (62443-3-3 -2013)]],""))</f>
        <v/>
      </c>
      <c r="BF3" t="str">
        <f t="array" ref="BF3">_xlfn.TEXTJOIN("; ",TRUE,IF(Measure_62443_3_3[OPS.1.1.3.6 Insufficient recovery options for patch and change management]="P",Measure_62443_3_3[[Official ID (62443-3-3 -2013)]:[Official ID (62443-3-3 -2013)]],""))</f>
        <v/>
      </c>
      <c r="BG3" t="str">
        <f t="array" ref="BG3">_xlfn.TEXTJOIN("; ",TRUE,IF(Measure_62443_3_3[OPS.1.1.3.8 Manipulation of data and tools during patch and change management]="P",Measure_62443_3_3[[Official ID (62443-3-3 -2013)]:[Official ID (62443-3-3 -2013)]],""))</f>
        <v/>
      </c>
      <c r="BH3" t="str">
        <f t="array" ref="BH3">_xlfn.TEXTJOIN("; ",TRUE,IF(Measure_62443_3_3[OPS.1.1.3.8 Manipulation of data and tools during patch and change management]="P",Measure_62443_3_3[[Official ID (62443-3-3 -2013)]:[Official ID (62443-3-3 -2013)]],""))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/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Insecure project planning process/application development process</v>
      </c>
      <c r="B37" t="str">
        <v/>
      </c>
    </row>
    <row r="38" spans="1:2">
      <c r="A38" t="str">
        <v>IND.1.6 Insecure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insecure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H66"/>
  <sheetViews>
    <sheetView workbookViewId="0">
      <selection activeCell="AM8" sqref="AM8"/>
    </sheetView>
  </sheetViews>
  <sheetFormatPr baseColWidth="10" defaultColWidth="11.44140625" defaultRowHeight="14.4"/>
  <cols>
    <col min="1" max="46" width="3.6640625" bestFit="1" customWidth="1"/>
    <col min="47" max="47" width="3.6640625" customWidth="1"/>
    <col min="48" max="60" width="3.109375" style="21" customWidth="1"/>
  </cols>
  <sheetData>
    <row r="1" spans="1:60" ht="18.600000000000001" customHeight="1">
      <c r="A1" s="12" t="s">
        <v>545</v>
      </c>
    </row>
    <row r="2" spans="1:60" ht="311.10000000000002" customHeight="1">
      <c r="A2" s="21" t="str">
        <f t="array" ref="A2:BH2">Measure_62443_3_3[[#Headers],[G 0.13 Interception of Compromising Interference Signals]:[OPS.1.1.3.8 Manipulation of data and tools during patch and change management]]</f>
        <v>G 0.13 Interception of Compromising Interference Signals</v>
      </c>
      <c r="B2" s="21" t="str">
        <v xml:space="preserve">G 0.14 Interception of Information / Espionage </v>
      </c>
      <c r="C2" s="21" t="str">
        <v>G 0.15 Eavesdropping</v>
      </c>
      <c r="D2" s="21" t="str">
        <v>G 0.16 Theft of Devices, Storage Media and Documents</v>
      </c>
      <c r="E2" s="21" t="str">
        <v>G 0.17 Loss of Devices, Storage Media and Documents</v>
      </c>
      <c r="F2" s="21" t="str">
        <v>G 0.19 Disclosure of Sensitive Information</v>
      </c>
      <c r="G2" s="21" t="str">
        <v>G 0.20 Information or Products from an Unreliable Source</v>
      </c>
      <c r="H2" s="21" t="str">
        <v>G 0.21 Manipulation of Hardware or Software</v>
      </c>
      <c r="I2" s="21" t="str">
        <v>G 0.22 Manipulation of Information</v>
      </c>
      <c r="J2" s="21" t="str">
        <v>G 0.23 Unauthorised Access to IT Systems</v>
      </c>
      <c r="K2" s="21" t="str">
        <v>G 0.24 Destruction of Devices or Storage Media</v>
      </c>
      <c r="L2" s="21" t="str">
        <v>G 0.28 Software Vulnerabilities or Errors</v>
      </c>
      <c r="M2" s="21" t="str">
        <v>G 0.30 Unauthorised Use or Administration of Devices and Systems</v>
      </c>
      <c r="N2" s="21" t="str">
        <v>G 0.31 Incorrect Use or Administration of Devices and Systems</v>
      </c>
      <c r="O2" s="21" t="str">
        <v>G 0.32 Misuse of Authorisation</v>
      </c>
      <c r="P2" s="21" t="str">
        <v>G 0.35 Coercion, Blackmail or Corruption</v>
      </c>
      <c r="Q2" s="21" t="str">
        <v>G 0.36 Identity Theft</v>
      </c>
      <c r="R2" s="21" t="str">
        <v>G 0.37 Repudiation of Actions</v>
      </c>
      <c r="S2" s="21" t="str">
        <v>G 0.38 Misuse of Personal Information</v>
      </c>
      <c r="T2" s="21" t="str">
        <v>G 0.39 Malware</v>
      </c>
      <c r="U2" s="21" t="str">
        <v>G 0.40 Denial of Service</v>
      </c>
      <c r="V2" s="21" t="str">
        <v>G 0.42 Social Engineering</v>
      </c>
      <c r="W2" s="21" t="str">
        <v>G 0.43 Attack with Specially Crafted Messages</v>
      </c>
      <c r="X2" s="21" t="str">
        <v>G 0.44 Unauthorised Entry to Premises</v>
      </c>
      <c r="Y2" s="21" t="str">
        <v>G 0.45 Data Loss</v>
      </c>
      <c r="Z2" s="21" t="str">
        <v>G 0.46 Loss of Integrity of Sensitive Information</v>
      </c>
      <c r="AA2" s="21" t="str">
        <v>G 0.47 Harmful Side Effects of IT-Supported Attacks</v>
      </c>
      <c r="AB2" s="21" t="str">
        <v>IND.1.2 Insufficient integration of OT into the security organisation</v>
      </c>
      <c r="AC2" s="21" t="str">
        <v>IND.1.3 Insufficient integration of OT into operational processes</v>
      </c>
      <c r="AD2" s="21" t="str">
        <v>IND.1.4 Insufficient access protection</v>
      </c>
      <c r="AE2" s="21" t="str">
        <v>IND.1.5 Insecure project planning process/application development process</v>
      </c>
      <c r="AF2" s="21" t="str">
        <v>IND.1.6 Insecure administration concept and remote administration</v>
      </c>
      <c r="AG2" s="21" t="str">
        <v>IND.1.7 Insufficient monitoring and detection procedures</v>
      </c>
      <c r="AH2" s="21" t="str">
        <v>IND.1.8 Insufficient test concept</v>
      </c>
      <c r="AI2" s="21" t="str">
        <v>IND.1.9 Insufficient life cycle concepts</v>
      </c>
      <c r="AJ2" s="21" t="str">
        <v>IND.1.10 Insufficient security requirements for procurement</v>
      </c>
      <c r="AK2" s="21" t="str">
        <v>IND.1.11 Use of insecure protocols</v>
      </c>
      <c r="AL2" s="21" t="str">
        <v>IND.1.12 Insecure configurations of components</v>
      </c>
      <c r="AM2" s="21" t="str">
        <v>IND.1.13 Dependencies of OT on IT networks</v>
      </c>
      <c r="AN2" s="21" t="str">
        <v>IND.2.1.2 Insufficient user and authorisation management</v>
      </c>
      <c r="AO2" s="21" t="str">
        <v>IND.2.1.3 Insufficient logging</v>
      </c>
      <c r="AP2" s="21" t="str">
        <v>IND.2.1.9 Manipulated firmware</v>
      </c>
      <c r="AQ2" s="21" t="str">
        <v>IND.2.2.1 Incomplete documentation</v>
      </c>
      <c r="AR2" s="21" t="str">
        <v>IND.3.2.1 Incompletely documented remote maintenance access in the OT</v>
      </c>
      <c r="AS2" s="21" t="str">
        <v>IND.3.2.2 Insufficient availability due to dependencies on office and building IT</v>
      </c>
      <c r="AT2" s="21" t="str">
        <v>IND.3.2.3 Insufficient regulations for the use of OT remote maintenance access</v>
      </c>
      <c r="AU2" s="21" t="str">
        <v>IND.3.2.4 Insufficient human oversight over OT remote maintenance sessions</v>
      </c>
      <c r="AV2" s="21" t="str">
        <v>IND.3.2.5 Direct IP-based access to systems from insecure zones</v>
      </c>
      <c r="AW2" s="21" t="str">
        <v>IND.3.2.6 Insecure alternative OT remote maintenance access in the event of faults</v>
      </c>
      <c r="AX2" s="21" t="str">
        <v>IND.3.2.7 Insecure design of OT remote maintenance accesses</v>
      </c>
      <c r="AY2" s="21" t="str">
        <v>IND.3.2.8 Outdated technical concepts for OT remote maintenance access</v>
      </c>
      <c r="AZ2" s="21" t="str">
        <v>CON.1.1 Insufficient key management for encryption</v>
      </c>
      <c r="BA2" s="21" t="str">
        <v>CON.1.8 Compromise of cryptographic keys</v>
      </c>
      <c r="BB2" s="21" t="str">
        <v>CON.1.9 Forged certificates</v>
      </c>
      <c r="BC2" s="21" t="str">
        <v>CON.3.1 Missing data backup</v>
      </c>
      <c r="BD2" s="21" t="str">
        <v>CON.3.2 Missing recovery tests</v>
      </c>
      <c r="BE2" s="21" t="str">
        <v>OPS.1.1.3.5 Problems with the automated distribution of patches and changes</v>
      </c>
      <c r="BF2" s="21" t="str">
        <v>OPS.1.1.3.6 Insufficient recovery options for patch and change management</v>
      </c>
      <c r="BG2" s="21" t="str">
        <v>OPS.1.1.3.8 Manipulation of data and tools during patch and change management</v>
      </c>
      <c r="BH2" s="21" t="e">
        <v>#N/A</v>
      </c>
    </row>
    <row r="3" spans="1:60">
      <c r="A3" t="str">
        <f t="array" ref="A3">_xlfn.TEXTJOIN("; ",TRUE,IF(Measure_62443_3_3[G 0.13 Interception of Compromising Interference Signals]="M",Measure_62443_3_3[[Official ID (62443-3-3 -2013)]:[Official ID (62443-3-3 -2013)]],""))</f>
        <v/>
      </c>
      <c r="B3" t="str">
        <f t="array" ref="B3">_xlfn.TEXTJOIN("; ",TRUE,IF(Measure_62443_3_3[G 0.14 Interception of Information / Espionage ]="M",Measure_62443_3_3[[Official ID (62443-3-3 -2013)]:[Official ID (62443-3-3 -2013)]],""))</f>
        <v/>
      </c>
      <c r="C3" t="str">
        <f t="array" ref="C3">_xlfn.TEXTJOIN("; ",TRUE,IF(Measure_62443_3_3[G 0.15 Eavesdropping]="M",Measure_62443_3_3[[Official ID (62443-3-3 -2013)]:[Official ID (62443-3-3 -2013)]],""))</f>
        <v/>
      </c>
      <c r="D3" t="str">
        <f t="array" ref="D3">_xlfn.TEXTJOIN("; ",TRUE,IF(Measure_62443_3_3[G 0.16 Theft of Devices, Storage Media and Documents]="M",Measure_62443_3_3[[Official ID (62443-3-3 -2013)]:[Official ID (62443-3-3 -2013)]],""))</f>
        <v/>
      </c>
      <c r="E3" t="str">
        <f t="array" ref="E3">_xlfn.TEXTJOIN("; ",TRUE,IF(Measure_62443_3_3[G 0.17 Loss of Devices, Storage Media and Documents]="M",Measure_62443_3_3[[Official ID (62443-3-3 -2013)]:[Official ID (62443-3-3 -2013)]],""))</f>
        <v/>
      </c>
      <c r="F3" t="str">
        <f t="array" ref="F3">_xlfn.TEXTJOIN("; ",TRUE,IF(Measure_62443_3_3[G 0.19 Disclosure of Sensitive Information]="M",Measure_62443_3_3[[Official ID (62443-3-3 -2013)]:[Official ID (62443-3-3 -2013)]],""))</f>
        <v/>
      </c>
      <c r="G3" t="str">
        <f t="array" ref="G3">_xlfn.TEXTJOIN("; ",TRUE,IF(Measure_62443_3_3[G 0.20 Information or Products from an Unreliable Source]="M",Measure_62443_3_3[[Official ID (62443-3-3 -2013)]:[Official ID (62443-3-3 -2013)]],""))</f>
        <v/>
      </c>
      <c r="H3" t="str">
        <f t="array" ref="H3">_xlfn.TEXTJOIN("; ",TRUE,IF(Measure_62443_3_3[G 0.21 Manipulation of Hardware or Software]="M",Measure_62443_3_3[[Official ID (62443-3-3 -2013)]:[Official ID (62443-3-3 -2013)]],""))</f>
        <v/>
      </c>
      <c r="I3" t="str">
        <f t="array" ref="I3">_xlfn.TEXTJOIN("; ",TRUE,IF(Measure_62443_3_3[G 0.22 Manipulation of Information]="M",Measure_62443_3_3[[Official ID (62443-3-3 -2013)]:[Official ID (62443-3-3 -2013)]],""))</f>
        <v/>
      </c>
      <c r="J3" t="str">
        <f t="array" ref="J3">_xlfn.TEXTJOIN("; ",TRUE,IF(Measure_62443_3_3[G 0.23 Unauthorised Access to IT Systems]="M",Measure_62443_3_3[[Official ID (62443-3-3 -2013)]:[Official ID (62443-3-3 -2013)]],""))</f>
        <v/>
      </c>
      <c r="K3" t="str">
        <f t="array" ref="K3">_xlfn.TEXTJOIN("; ",TRUE,IF(Measure_62443_3_3[G 0.24 Destruction of Devices or Storage Media]="M",Measure_62443_3_3[[Official ID (62443-3-3 -2013)]:[Official ID (62443-3-3 -2013)]],""))</f>
        <v/>
      </c>
      <c r="L3" t="str">
        <f t="array" ref="L3">_xlfn.TEXTJOIN("; ",TRUE,IF(Measure_62443_3_3[G 0.28 Software Vulnerabilities or Errors]="M",Measure_62443_3_3[[Official ID (62443-3-3 -2013)]:[Official ID (62443-3-3 -2013)]],""))</f>
        <v/>
      </c>
      <c r="M3" t="str">
        <f t="array" ref="M3">_xlfn.TEXTJOIN("; ",TRUE,IF(Measure_62443_3_3[G 0.30 Unauthorised Use or Administration of Devices and Systems]="M",Measure_62443_3_3[[Official ID (62443-3-3 -2013)]:[Official ID (62443-3-3 -2013)]],""))</f>
        <v/>
      </c>
      <c r="N3" t="str">
        <f t="array" ref="N3">_xlfn.TEXTJOIN("; ",TRUE,IF(Measure_62443_3_3[G 0.31 Incorrect Use or Administration of Devices and Systems]="M",Measure_62443_3_3[[Official ID (62443-3-3 -2013)]:[Official ID (62443-3-3 -2013)]],""))</f>
        <v/>
      </c>
      <c r="O3" t="str">
        <f t="array" ref="O3">_xlfn.TEXTJOIN("; ",TRUE,IF(Measure_62443_3_3[G 0.32 Misuse of Authorisation]="M",Measure_62443_3_3[[Official ID (62443-3-3 -2013)]:[Official ID (62443-3-3 -2013)]],""))</f>
        <v/>
      </c>
      <c r="P3" t="str">
        <f t="array" ref="P3">_xlfn.TEXTJOIN("; ",TRUE,IF(Measure_62443_3_3[G 0.35 Coercion, Blackmail or Corruption]="M",Measure_62443_3_3[[Official ID (62443-3-3 -2013)]:[Official ID (62443-3-3 -2013)]],""))</f>
        <v/>
      </c>
      <c r="Q3" t="str">
        <f t="array" ref="Q3">_xlfn.TEXTJOIN("; ",TRUE,IF(Measure_62443_3_3[G 0.36 Identity Theft]="M",Measure_62443_3_3[[Official ID (62443-3-3 -2013)]:[Official ID (62443-3-3 -2013)]],""))</f>
        <v/>
      </c>
      <c r="R3" t="str">
        <f t="array" ref="R3">_xlfn.TEXTJOIN("; ",TRUE,IF(Measure_62443_3_3[G 0.37 Repudiation of Actions]="M",Measure_62443_3_3[[Official ID (62443-3-3 -2013)]:[Official ID (62443-3-3 -2013)]],""))</f>
        <v/>
      </c>
      <c r="S3" t="str">
        <f t="array" ref="S3">_xlfn.TEXTJOIN("; ",TRUE,IF(Measure_62443_3_3[G 0.38 Misuse of Personal Information]="M",Measure_62443_3_3[[Official ID (62443-3-3 -2013)]:[Official ID (62443-3-3 -2013)]],""))</f>
        <v/>
      </c>
      <c r="T3" t="str">
        <f t="array" ref="T3">_xlfn.TEXTJOIN("; ",TRUE,IF(Measure_62443_3_3[G 0.39 Malware]="M",Measure_62443_3_3[[Official ID (62443-3-3 -2013)]:[Official ID (62443-3-3 -2013)]],""))</f>
        <v/>
      </c>
      <c r="U3" t="str">
        <f t="array" ref="U3">_xlfn.TEXTJOIN("; ",TRUE,IF(Measure_62443_3_3[G 0.40 Denial of Service]="M",Measure_62443_3_3[[Official ID (62443-3-3 -2013)]:[Official ID (62443-3-3 -2013)]],""))</f>
        <v/>
      </c>
      <c r="V3" t="str">
        <f t="array" ref="V3">_xlfn.TEXTJOIN("; ",TRUE,IF(Measure_62443_3_3[G 0.42 Social Engineering]="M",Measure_62443_3_3[[Official ID (62443-3-3 -2013)]:[Official ID (62443-3-3 -2013)]],""))</f>
        <v/>
      </c>
      <c r="W3" t="str">
        <f t="array" ref="W3">_xlfn.TEXTJOIN("; ",TRUE,IF(Measure_62443_3_3[G 0.43 Attack with Specially Crafted Messages]="M",Measure_62443_3_3[[Official ID (62443-3-3 -2013)]:[Official ID (62443-3-3 -2013)]],""))</f>
        <v/>
      </c>
      <c r="X3" t="str">
        <f t="array" ref="X3">_xlfn.TEXTJOIN("; ",TRUE,IF(Measure_62443_3_3[G 0.44 Unauthorised Entry to Premises]="M",Measure_62443_3_3[[Official ID (62443-3-3 -2013)]:[Official ID (62443-3-3 -2013)]],""))</f>
        <v/>
      </c>
      <c r="Y3" t="str">
        <f t="array" ref="Y3">_xlfn.TEXTJOIN("; ",TRUE,IF(Measure_62443_3_3[G 0.45 Data Loss]="M",Measure_62443_3_3[[Official ID (62443-3-3 -2013)]:[Official ID (62443-3-3 -2013)]],""))</f>
        <v/>
      </c>
      <c r="Z3" t="str">
        <f t="array" ref="Z3">_xlfn.TEXTJOIN("; ",TRUE,IF(Measure_62443_3_3[G 0.46 Loss of Integrity of Sensitive Information]="M",Measure_62443_3_3[[Official ID (62443-3-3 -2013)]:[Official ID (62443-3-3 -2013)]],""))</f>
        <v/>
      </c>
      <c r="AA3" t="str">
        <f t="array" ref="AA3">_xlfn.TEXTJOIN("; ",TRUE,IF(Measure_62443_3_3[G 0.47 Harmful Side Effects of IT-Supported Attacks]="M",Measure_62443_3_3[[Official ID (62443-3-3 -2013)]:[Official ID (62443-3-3 -2013)]],""))</f>
        <v/>
      </c>
      <c r="AB3" t="str">
        <f t="array" ref="AB3">_xlfn.TEXTJOIN("; ",TRUE,IF(Measure_62443_3_3[IND.1.2 Insufficient integration of OT into the security organisation]="M",Measure_62443_3_3[[Official ID (62443-3-3 -2013)]:[Official ID (62443-3-3 -2013)]],""))</f>
        <v/>
      </c>
      <c r="AC3" t="str">
        <f t="array" ref="AC3">_xlfn.TEXTJOIN("; ",TRUE,IF(Measure_62443_3_3[IND.1.3 Insufficient integration of OT into operational processes]="M",Measure_62443_3_3[[Official ID (62443-3-3 -2013)]:[Official ID (62443-3-3 -2013)]],""))</f>
        <v/>
      </c>
      <c r="AD3" t="str">
        <f t="array" ref="AD3">_xlfn.TEXTJOIN("; ",TRUE,IF(Measure_62443_3_3[IND.1.4 Insufficient access protection]="M",Measure_62443_3_3[[Official ID (62443-3-3 -2013)]:[Official ID (62443-3-3 -2013)]],""))</f>
        <v/>
      </c>
      <c r="AE3" t="str">
        <f t="array" ref="AE3">_xlfn.TEXTJOIN("; ",TRUE,IF(Measure_62443_3_3[IND.1.5 Insecure project planning process/application development process]="M",Measure_62443_3_3[[Official ID (62443-3-3 -2013)]:[Official ID (62443-3-3 -2013)]],""))</f>
        <v/>
      </c>
      <c r="AF3" t="str">
        <f t="array" ref="AF3">_xlfn.TEXTJOIN("; ",TRUE,IF(Measure_62443_3_3[IND.1.6 Insecure administration concept and remote administration]="M",Measure_62443_3_3[[Official ID (62443-3-3 -2013)]:[Official ID (62443-3-3 -2013)]],""))</f>
        <v/>
      </c>
      <c r="AG3" t="str">
        <f t="array" ref="AG3">_xlfn.TEXTJOIN("; ",TRUE,IF(Measure_62443_3_3[IND.1.7 Insufficient monitoring and detection procedures]="M",Measure_62443_3_3[[Official ID (62443-3-3 -2013)]:[Official ID (62443-3-3 -2013)]],""))</f>
        <v/>
      </c>
      <c r="AH3" t="str">
        <f t="array" ref="AH3">_xlfn.TEXTJOIN("; ",TRUE,IF(Measure_62443_3_3[IND.1.8 Insufficient test concept]="M",Measure_62443_3_3[[Official ID (62443-3-3 -2013)]:[Official ID (62443-3-3 -2013)]],""))</f>
        <v/>
      </c>
      <c r="AI3" t="str">
        <f t="array" ref="AI3">_xlfn.TEXTJOIN("; ",TRUE,IF(Measure_62443_3_3[IND.1.9 Insufficient life cycle concepts]="M",Measure_62443_3_3[[Official ID (62443-3-3 -2013)]:[Official ID (62443-3-3 -2013)]],""))</f>
        <v/>
      </c>
      <c r="AJ3" t="str">
        <f t="array" ref="AJ3">_xlfn.TEXTJOIN("; ",TRUE,IF(Measure_62443_3_3[IND.1.10 Insufficient security requirements for procurement]="M",Measure_62443_3_3[[Official ID (62443-3-3 -2013)]:[Official ID (62443-3-3 -2013)]],""))</f>
        <v/>
      </c>
      <c r="AK3" t="str">
        <f t="array" ref="AK3">_xlfn.TEXTJOIN("; ",TRUE,IF(Measure_62443_3_3[IND.1.11 Use of insecure protocols]="M",Measure_62443_3_3[[Official ID (62443-3-3 -2013)]:[Official ID (62443-3-3 -2013)]],""))</f>
        <v/>
      </c>
      <c r="AL3" t="str">
        <f t="array" ref="AL3">_xlfn.TEXTJOIN("; ",TRUE,IF(Measure_62443_3_3[IND.1.12 Insecure configurations of components]="M",Measure_62443_3_3[[Official ID (62443-3-3 -2013)]:[Official ID (62443-3-3 -2013)]],""))</f>
        <v/>
      </c>
      <c r="AM3" t="str">
        <f t="array" ref="AM3">_xlfn.TEXTJOIN("; ",TRUE,IF(Measure_62443_3_3[IND.1.13 Dependencies of OT on IT networks]="M",Measure_62443_3_3[[Official ID (62443-3-3 -2013)]:[Official ID (62443-3-3 -2013)]],""))</f>
        <v/>
      </c>
      <c r="AN3" t="str">
        <f t="array" ref="AN3">_xlfn.TEXTJOIN("; ",TRUE,IF(Measure_62443_3_3[IND.2.1.2 Insufficient user and authorisation management]="M",Measure_62443_3_3[[Official ID (62443-3-3 -2013)]:[Official ID (62443-3-3 -2013)]],""))</f>
        <v/>
      </c>
      <c r="AO3" t="str">
        <f t="array" ref="AO3">_xlfn.TEXTJOIN("; ",TRUE,IF(Measure_62443_3_3[IND.2.1.3 Insufficient logging]="M",Measure_62443_3_3[[Official ID (62443-3-3 -2013)]:[Official ID (62443-3-3 -2013)]],""))</f>
        <v/>
      </c>
      <c r="AP3" t="str">
        <f t="array" ref="AP3">_xlfn.TEXTJOIN("; ",TRUE,IF(Measure_62443_3_3[IND.2.1.9 Manipulated firmware]="M",Measure_62443_3_3[[Official ID (62443-3-3 -2013)]:[Official ID (62443-3-3 -2013)]],""))</f>
        <v/>
      </c>
      <c r="AQ3" t="str">
        <f t="array" ref="AQ3">_xlfn.TEXTJOIN("; ",TRUE,IF(Measure_62443_3_3[IND.2.2.1 Incomplete documentation]="M",Measure_62443_3_3[[Official ID (62443-3-3 -2013)]:[Official ID (62443-3-3 -2013)]],""))</f>
        <v/>
      </c>
      <c r="AR3" t="str">
        <f t="array" ref="AR3">_xlfn.TEXTJOIN("; ",TRUE,IF(Measure_62443_3_3[IND.3.2.1 Incompletely documented remote maintenance access in the OT]="M",Measure_62443_3_3[[Official ID (62443-3-3 -2013)]:[Official ID (62443-3-3 -2013)]],""))</f>
        <v/>
      </c>
      <c r="AS3" t="str">
        <f t="array" ref="AS3">_xlfn.TEXTJOIN("; ",TRUE,IF(Measure_62443_3_3[IND.3.2.2 Insufficient availability due to dependencies on office and building IT]="M",Measure_62443_3_3[[Official ID (62443-3-3 -2013)]:[Official ID (62443-3-3 -2013)]],""))</f>
        <v/>
      </c>
      <c r="AT3" t="str">
        <f t="array" ref="AT3">_xlfn.TEXTJOIN("; ",TRUE,IF(Measure_62443_3_3[IND.3.2.3 Insufficient regulations for the use of OT remote maintenance access]="M",Measure_62443_3_3[[Official ID (62443-3-3 -2013)]:[Official ID (62443-3-3 -2013)]],""))</f>
        <v/>
      </c>
      <c r="AU3" t="str">
        <f t="array" ref="AU3">_xlfn.TEXTJOIN("; ",TRUE,IF(Measure_62443_3_3[IND.3.2.4 Insufficient human oversight over OT remote maintenance sessions]="M",Measure_62443_3_3[[Official ID (62443-3-3 -2013)]:[Official ID (62443-3-3 -2013)]],""))</f>
        <v/>
      </c>
      <c r="AV3" t="str">
        <f t="array" ref="AV3">_xlfn.TEXTJOIN("; ",TRUE,IF(Measure_62443_3_3[IND.3.2.5 Direct IP-based access to systems from insecure zones]="M",Measure_62443_3_3[[Official ID (62443-3-3 -2013)]:[Official ID (62443-3-3 -2013)]],""))</f>
        <v/>
      </c>
      <c r="AW3" t="str">
        <f t="array" ref="AW3">_xlfn.TEXTJOIN("; ",TRUE,IF(Measure_62443_3_3[IND.3.2.6 Insecure alternative OT remote maintenance access in the event of faults]="M",Measure_62443_3_3[[Official ID (62443-3-3 -2013)]:[Official ID (62443-3-3 -2013)]],""))</f>
        <v/>
      </c>
      <c r="AX3" t="str">
        <f t="array" ref="AX3">_xlfn.TEXTJOIN("; ",TRUE,IF(Measure_62443_3_3[IND.3.2.7 Insecure design of OT remote maintenance accesses]="M",Measure_62443_3_3[[Official ID (62443-3-3 -2013)]:[Official ID (62443-3-3 -2013)]],""))</f>
        <v/>
      </c>
      <c r="AY3" t="str">
        <f t="array" ref="AY3">_xlfn.TEXTJOIN("; ",TRUE,IF(Measure_62443_3_3[IND.3.2.8 Outdated technical concepts for OT remote maintenance access]="M",Measure_62443_3_3[[Official ID (62443-3-3 -2013)]:[Official ID (62443-3-3 -2013)]],""))</f>
        <v/>
      </c>
      <c r="AZ3" t="str">
        <f t="array" ref="AZ3">_xlfn.TEXTJOIN("; ",TRUE,IF(Measure_62443_3_3[CON.1.1 Insufficient key management for encryption]="M",Measure_62443_3_3[[Official ID (62443-3-3 -2013)]:[Official ID (62443-3-3 -2013)]],""))</f>
        <v/>
      </c>
      <c r="BA3" t="str">
        <f t="array" ref="BA3">_xlfn.TEXTJOIN("; ",TRUE,IF(Measure_62443_3_3[CON.1.8 Compromise of cryptographic keys]="M",Measure_62443_3_3[[Official ID (62443-3-3 -2013)]:[Official ID (62443-3-3 -2013)]],""))</f>
        <v/>
      </c>
      <c r="BB3" t="str">
        <f t="array" ref="BB3">_xlfn.TEXTJOIN("; ",TRUE,IF(Measure_62443_3_3[CON.1.9 Forged certificates]="M",Measure_62443_3_3[[Official ID (62443-3-3 -2013)]:[Official ID (62443-3-3 -2013)]],""))</f>
        <v/>
      </c>
      <c r="BC3" t="str">
        <f t="array" ref="BC3">_xlfn.TEXTJOIN("; ",TRUE,IF(Measure_62443_3_3[CON.3.1 Missing data backup]="M",Measure_62443_3_3[[Official ID (62443-3-3 -2013)]:[Official ID (62443-3-3 -2013)]],""))</f>
        <v/>
      </c>
      <c r="BD3" t="str">
        <f t="array" ref="BD3">_xlfn.TEXTJOIN("; ",TRUE,IF(Measure_62443_3_3[CON.3.2 Missing recovery tests]="M",Measure_62443_3_3[[Official ID (62443-3-3 -2013)]:[Official ID (62443-3-3 -2013)]],""))</f>
        <v/>
      </c>
      <c r="BE3" t="str">
        <f t="array" ref="BE3">_xlfn.TEXTJOIN("; ",TRUE,IF(Measure_62443_3_3[OPS.1.1.3.5 Problems with the automated distribution of patches and changes]="M",Measure_62443_3_3[[Official ID (62443-3-3 -2013)]:[Official ID (62443-3-3 -2013)]],""))</f>
        <v/>
      </c>
      <c r="BF3" t="str">
        <f t="array" ref="BF3">_xlfn.TEXTJOIN("; ",TRUE,IF(Measure_62443_3_3[OPS.1.1.3.6 Insufficient recovery options for patch and change management]="M",Measure_62443_3_3[[Official ID (62443-3-3 -2013)]:[Official ID (62443-3-3 -2013)]],""))</f>
        <v/>
      </c>
      <c r="BG3" t="str">
        <f t="array" ref="BG3">_xlfn.TEXTJOIN("; ",TRUE,IF(Measure_62443_3_3[OPS.1.1.3.8 Manipulation of data and tools during patch and change management]="M",Measure_62443_3_3[[Official ID (62443-3-3 -2013)]:[Official ID (62443-3-3 -2013)]],""))</f>
        <v/>
      </c>
      <c r="BH3" t="str">
        <f t="array" ref="BH3">_xlfn.TEXTJOIN("; ",TRUE,IF(Measure_62443_3_3[Official ID (62443-3-3 -2013)]="M",Measure_62443_3_3[[Official ID (62443-3-3 -2013)]:[Official ID (62443-3-3 -2013)]],""))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/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Insecure project planning process/application development process</v>
      </c>
      <c r="B37" t="str">
        <v/>
      </c>
    </row>
    <row r="38" spans="1:2">
      <c r="A38" t="str">
        <v>IND.1.6 Insecure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insecure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H66"/>
  <sheetViews>
    <sheetView workbookViewId="0">
      <selection activeCell="AM8" sqref="AM8"/>
    </sheetView>
  </sheetViews>
  <sheetFormatPr baseColWidth="10" defaultColWidth="11.44140625" defaultRowHeight="14.4"/>
  <cols>
    <col min="1" max="46" width="3.6640625" bestFit="1" customWidth="1"/>
    <col min="47" max="47" width="3.6640625" customWidth="1"/>
    <col min="48" max="60" width="3.109375" style="21" customWidth="1"/>
  </cols>
  <sheetData>
    <row r="1" spans="1:60" ht="18.600000000000001" customHeight="1">
      <c r="A1" s="12" t="s">
        <v>545</v>
      </c>
    </row>
    <row r="2" spans="1:60" ht="311.10000000000002" customHeight="1">
      <c r="A2" s="21" t="str">
        <f t="array" ref="A2:BH2">Measure_62443_2_1[[#Headers],[G 0.13 Interception of Compromising Interference Signals]:[OPS.1.1.3.8 Manipulation of data and tools during patch and change management]]</f>
        <v>G 0.13 Interception of Compromising Interference Signals</v>
      </c>
      <c r="B2" s="21" t="str">
        <v xml:space="preserve">G 0.14 Interception of Information / Espionage </v>
      </c>
      <c r="C2" s="21" t="str">
        <v>G 0.15 Eavesdropping</v>
      </c>
      <c r="D2" s="21" t="str">
        <v>G 0.16 Theft of Devices, Storage Media and Documents</v>
      </c>
      <c r="E2" s="21" t="str">
        <v>G 0.17 Loss of Devices, Storage Media and Documents</v>
      </c>
      <c r="F2" s="21" t="str">
        <v>G 0.19 Disclosure of Sensitive Information</v>
      </c>
      <c r="G2" s="21" t="str">
        <v>G 0.20 Information or Products from an Unreliable Source</v>
      </c>
      <c r="H2" s="21" t="str">
        <v>G 0.21 Manipulation of Hardware or Software</v>
      </c>
      <c r="I2" s="21" t="str">
        <v>G 0.22 Manipulation of Information</v>
      </c>
      <c r="J2" s="21" t="str">
        <v>G 0.23 Unauthorised Access to IT Systems</v>
      </c>
      <c r="K2" s="21" t="str">
        <v>G 0.24 Destruction of Devices or Storage Media</v>
      </c>
      <c r="L2" s="21" t="str">
        <v>G 0.28 Software Vulnerabilities or Errors</v>
      </c>
      <c r="M2" s="21" t="str">
        <v>G 0.30 Unauthorised Use or Administration of Devices and Systems</v>
      </c>
      <c r="N2" s="21" t="str">
        <v>G 0.31 Incorrect Use or Administration of Devices and Systems</v>
      </c>
      <c r="O2" s="21" t="str">
        <v>G 0.32 Misuse of Authorisation</v>
      </c>
      <c r="P2" s="21" t="str">
        <v>G 0.35 Coercion, Blackmail or Corruption</v>
      </c>
      <c r="Q2" s="21" t="str">
        <v>G 0.36 Identity Theft</v>
      </c>
      <c r="R2" s="21" t="str">
        <v>G 0.37 Repudiation of Actions</v>
      </c>
      <c r="S2" s="21" t="str">
        <v>G 0.38 Misuse of Personal Information</v>
      </c>
      <c r="T2" s="21" t="str">
        <v>G 0.39 Malware</v>
      </c>
      <c r="U2" s="21" t="str">
        <v>G 0.40 Denial of Service</v>
      </c>
      <c r="V2" s="21" t="str">
        <v>G 0.42 Social Engineering</v>
      </c>
      <c r="W2" s="21" t="str">
        <v>G 0.43 Attack with Specially Crafted Messages</v>
      </c>
      <c r="X2" s="21" t="str">
        <v>G 0.44 Unauthorised Entry to Premises</v>
      </c>
      <c r="Y2" s="21" t="str">
        <v>G 0.45 Data Loss</v>
      </c>
      <c r="Z2" s="21" t="str">
        <v>G 0.46 Loss of Integrity of Sensitive Information</v>
      </c>
      <c r="AA2" s="21" t="str">
        <v>G 0.47 Harmful Side Effects of IT-Supported Attacks</v>
      </c>
      <c r="AB2" s="21" t="str">
        <v>IND.1.2 Insufficient integration of OT into the security organisation</v>
      </c>
      <c r="AC2" s="21" t="str">
        <v>IND.1.3 Insufficient integration of OT into operational processes</v>
      </c>
      <c r="AD2" s="21" t="str">
        <v>IND.1.4 Insufficient access protection</v>
      </c>
      <c r="AE2" s="21" t="str">
        <v>IND.1.5 Insecure project planning process/application development process</v>
      </c>
      <c r="AF2" s="21" t="str">
        <v>IND.1.6 Insecure administration concept and remote administration</v>
      </c>
      <c r="AG2" s="21" t="str">
        <v>IND.1.7 Insufficient monitoring and detection procedures</v>
      </c>
      <c r="AH2" s="21" t="str">
        <v>IND.1.8 Insufficient test concept</v>
      </c>
      <c r="AI2" s="21" t="str">
        <v>IND.1.9 Insufficient life cycle concepts</v>
      </c>
      <c r="AJ2" s="21" t="str">
        <v>IND.1.10 Insufficient security requirements for procurement</v>
      </c>
      <c r="AK2" s="21" t="str">
        <v>IND.1.11 Use of insecure protocols</v>
      </c>
      <c r="AL2" s="21" t="str">
        <v>IND.1.12 Insecure configurations of components</v>
      </c>
      <c r="AM2" s="21" t="str">
        <v>IND.1.13 Dependencies of OT on IT networks</v>
      </c>
      <c r="AN2" s="21" t="str">
        <v>IND.2.1.2 Insufficient user and authorisation management</v>
      </c>
      <c r="AO2" s="21" t="str">
        <v>IND.2.1.3 Insufficient logging</v>
      </c>
      <c r="AP2" s="21" t="str">
        <v>IND.2.1.9 Manipulated firmware</v>
      </c>
      <c r="AQ2" s="21" t="str">
        <v>IND.2.2.1 Incomplete documentation</v>
      </c>
      <c r="AR2" s="21" t="str">
        <v>IND.3.2.1 Incompletely documented remote maintenance access in the OT</v>
      </c>
      <c r="AS2" s="21" t="str">
        <v>IND.3.2.2 Insufficient availability due to dependencies on office and building IT</v>
      </c>
      <c r="AT2" s="21" t="str">
        <v>IND.3.2.3 Insufficient regulations for the use of OT remote maintenance access</v>
      </c>
      <c r="AU2" s="21" t="str">
        <v>IND.3.2.4 Insufficient human oversight over OT remote maintenance sessions</v>
      </c>
      <c r="AV2" s="21" t="str">
        <v>IND.3.2.5 Direct IP-based access to systems from insecure zones</v>
      </c>
      <c r="AW2" s="21" t="str">
        <v>IND.3.2.6 Insecure alternative OT remote maintenance access in the event of faults</v>
      </c>
      <c r="AX2" s="21" t="str">
        <v>IND.3.2.7 Insecure design of OT remote maintenance accesses</v>
      </c>
      <c r="AY2" s="21" t="str">
        <v>IND.3.2.8 Outdated technical concepts for OT remote maintenance access</v>
      </c>
      <c r="AZ2" s="21" t="str">
        <v>CON.1.1 Insufficient key management for encryption</v>
      </c>
      <c r="BA2" s="21" t="str">
        <v>CON.1.8 Compromise of cryptographic keys</v>
      </c>
      <c r="BB2" s="21" t="str">
        <v>CON.1.9 Forged certificates</v>
      </c>
      <c r="BC2" s="21" t="str">
        <v>CON.3.1 Missing data backup</v>
      </c>
      <c r="BD2" s="21" t="str">
        <v>CON.3.2 Missing recovery tests</v>
      </c>
      <c r="BE2" s="21" t="str">
        <v>OPS.1.1.3.5 Problems with the automated distribution of patches and changes</v>
      </c>
      <c r="BF2" s="21" t="str">
        <v>OPS.1.1.3.6 Insufficient recovery options for patch and change management</v>
      </c>
      <c r="BG2" s="21" t="str">
        <v>OPS.1.1.3.8 Manipulation of data and tools during patch and change management</v>
      </c>
      <c r="BH2" s="21" t="e">
        <v>#N/A</v>
      </c>
    </row>
    <row r="3" spans="1:60">
      <c r="A3" t="str">
        <f t="array" ref="A3">_xlfn.TEXTJOIN("; ",TRUE,IF(Measure_62443_2_1[G 0.13 Interception of Compromising Interference Signals]="X",Measure_62443_2_1[[Official ID (62443-2-1 -2020)]:[Official ID (62443-2-1 -2020)]],""))</f>
        <v>COMP 1.1</v>
      </c>
      <c r="B3" t="str">
        <f t="array" ref="B3">_xlfn.TEXTJOIN("; ",TRUE,IF(Measure_62443_2_1[G 0.14 Interception of Information / Espionage ]="X",Measure_62443_2_1[[Official ID (62443-2-1 -2020)]:[Official ID (62443-2-1 -2020)]],""))</f>
        <v/>
      </c>
      <c r="C3" t="str">
        <f t="array" ref="C3">_xlfn.TEXTJOIN("; ",TRUE,IF(Measure_62443_2_1[G 0.15 Eavesdropping]="X",Measure_62443_2_1[[Official ID (62443-2-1 -2020)]:[Official ID (62443-2-1 -2020)]],""))</f>
        <v/>
      </c>
      <c r="D3" t="str">
        <f t="array" ref="D3">_xlfn.TEXTJOIN("; ",TRUE,IF(Measure_62443_2_1[G 0.16 Theft of Devices, Storage Media and Documents]="X",Measure_62443_2_1[[Official ID (62443-2-1 -2020)]:[Official ID (62443-2-1 -2020)]],""))</f>
        <v/>
      </c>
      <c r="E3" t="str">
        <f t="array" ref="E3">_xlfn.TEXTJOIN("; ",TRUE,IF(Measure_62443_2_1[G 0.17 Loss of Devices, Storage Media and Documents]="X",Measure_62443_2_1[[Official ID (62443-2-1 -2020)]:[Official ID (62443-2-1 -2020)]],""))</f>
        <v/>
      </c>
      <c r="F3" t="str">
        <f t="array" ref="F3">_xlfn.TEXTJOIN("; ",TRUE,IF(Measure_62443_2_1[G 0.19 Disclosure of Sensitive Information]="X",Measure_62443_2_1[[Official ID (62443-2-1 -2020)]:[Official ID (62443-2-1 -2020)]],""))</f>
        <v/>
      </c>
      <c r="G3" t="str">
        <f t="array" ref="G3">_xlfn.TEXTJOIN("; ",TRUE,IF(Measure_62443_2_1[G 0.20 Information or Products from an Unreliable Source]="X",Measure_62443_2_1[[Official ID (62443-2-1 -2020)]:[Official ID (62443-2-1 -2020)]],""))</f>
        <v/>
      </c>
      <c r="H3" t="str">
        <f t="array" ref="H3">_xlfn.TEXTJOIN("; ",TRUE,IF(Measure_62443_2_1[G 0.21 Manipulation of Hardware or Software]="X",Measure_62443_2_1[[Official ID (62443-2-1 -2020)]:[Official ID (62443-2-1 -2020)]],""))</f>
        <v/>
      </c>
      <c r="I3" t="str">
        <f t="array" ref="I3">_xlfn.TEXTJOIN("; ",TRUE,IF(Measure_62443_2_1[G 0.22 Manipulation of Information]="X",Measure_62443_2_1[[Official ID (62443-2-1 -2020)]:[Official ID (62443-2-1 -2020)]],""))</f>
        <v/>
      </c>
      <c r="J3" t="str">
        <f t="array" ref="J3">_xlfn.TEXTJOIN("; ",TRUE,IF(Measure_62443_2_1[G 0.23 Unauthorised Access to IT Systems]="X",Measure_62443_2_1[[Official ID (62443-2-1 -2020)]:[Official ID (62443-2-1 -2020)]],""))</f>
        <v/>
      </c>
      <c r="K3" t="str">
        <f t="array" ref="K3">_xlfn.TEXTJOIN("; ",TRUE,IF(Measure_62443_2_1[G 0.24 Destruction of Devices or Storage Media]="X",Measure_62443_2_1[[Official ID (62443-2-1 -2020)]:[Official ID (62443-2-1 -2020)]],""))</f>
        <v/>
      </c>
      <c r="L3" t="str">
        <f t="array" ref="L3">_xlfn.TEXTJOIN("; ",TRUE,IF(Measure_62443_2_1[G 0.28 Software Vulnerabilities or Errors]="X",Measure_62443_2_1[[Official ID (62443-2-1 -2020)]:[Official ID (62443-2-1 -2020)]],""))</f>
        <v/>
      </c>
      <c r="M3" t="str">
        <f t="array" ref="M3">_xlfn.TEXTJOIN("; ",TRUE,IF(Measure_62443_2_1[G 0.30 Unauthorised Use or Administration of Devices and Systems]="X",Measure_62443_2_1[[Official ID (62443-2-1 -2020)]:[Official ID (62443-2-1 -2020)]],""))</f>
        <v/>
      </c>
      <c r="N3" t="str">
        <f t="array" ref="N3">_xlfn.TEXTJOIN("; ",TRUE,IF(Measure_62443_2_1[G 0.31 Incorrect Use or Administration of Devices and Systems]="X",Measure_62443_2_1[[Official ID (62443-2-1 -2020)]:[Official ID (62443-2-1 -2020)]],""))</f>
        <v/>
      </c>
      <c r="O3" t="str">
        <f t="array" ref="O3">_xlfn.TEXTJOIN("; ",TRUE,IF(Measure_62443_2_1[G 0.32 Misuse of Authorisation]="X",Measure_62443_2_1[[Official ID (62443-2-1 -2020)]:[Official ID (62443-2-1 -2020)]],""))</f>
        <v/>
      </c>
      <c r="P3" t="str">
        <f t="array" ref="P3">_xlfn.TEXTJOIN("; ",TRUE,IF(Measure_62443_2_1[G 0.35 Coercion, Blackmail or Corruption]="X",Measure_62443_2_1[[Official ID (62443-2-1 -2020)]:[Official ID (62443-2-1 -2020)]],""))</f>
        <v/>
      </c>
      <c r="Q3" t="str">
        <f t="array" ref="Q3">_xlfn.TEXTJOIN("; ",TRUE,IF(Measure_62443_2_1[G 0.36 Identity Theft]="X",Measure_62443_2_1[[Official ID (62443-2-1 -2020)]:[Official ID (62443-2-1 -2020)]],""))</f>
        <v/>
      </c>
      <c r="R3" t="str">
        <f t="array" ref="R3">_xlfn.TEXTJOIN("; ",TRUE,IF(Measure_62443_2_1[G 0.37 Repudiation of Actions]="X",Measure_62443_2_1[[Official ID (62443-2-1 -2020)]:[Official ID (62443-2-1 -2020)]],""))</f>
        <v/>
      </c>
      <c r="S3" t="str">
        <f t="array" ref="S3">_xlfn.TEXTJOIN("; ",TRUE,IF(Measure_62443_2_1[G 0.38 Misuse of Personal Information]="X",Measure_62443_2_1[[Official ID (62443-2-1 -2020)]:[Official ID (62443-2-1 -2020)]],""))</f>
        <v/>
      </c>
      <c r="T3" t="str">
        <f t="array" ref="T3">_xlfn.TEXTJOIN("; ",TRUE,IF(Measure_62443_2_1[G 0.39 Malware]="X",Measure_62443_2_1[[Official ID (62443-2-1 -2020)]:[Official ID (62443-2-1 -2020)]],""))</f>
        <v/>
      </c>
      <c r="U3" t="str">
        <f t="array" ref="U3">_xlfn.TEXTJOIN("; ",TRUE,IF(Measure_62443_2_1[G 0.40 Denial of Service]="X",Measure_62443_2_1[[Official ID (62443-2-1 -2020)]:[Official ID (62443-2-1 -2020)]],""))</f>
        <v/>
      </c>
      <c r="V3" t="str">
        <f t="array" ref="V3">_xlfn.TEXTJOIN("; ",TRUE,IF(Measure_62443_2_1[G 0.42 Social Engineering]="X",Measure_62443_2_1[[Official ID (62443-2-1 -2020)]:[Official ID (62443-2-1 -2020)]],""))</f>
        <v/>
      </c>
      <c r="W3" t="str">
        <f t="array" ref="W3">_xlfn.TEXTJOIN("; ",TRUE,IF(Measure_62443_2_1[G 0.43 Attack with Specially Crafted Messages]="X",Measure_62443_2_1[[Official ID (62443-2-1 -2020)]:[Official ID (62443-2-1 -2020)]],""))</f>
        <v/>
      </c>
      <c r="X3" t="str">
        <f t="array" ref="X3">_xlfn.TEXTJOIN("; ",TRUE,IF(Measure_62443_2_1[G 0.44 Unauthorised Entry to Premises]="X",Measure_62443_2_1[[Official ID (62443-2-1 -2020)]:[Official ID (62443-2-1 -2020)]],""))</f>
        <v/>
      </c>
      <c r="Y3" t="str">
        <f t="array" ref="Y3">_xlfn.TEXTJOIN("; ",TRUE,IF(Measure_62443_2_1[G 0.45 Data Loss]="X",Measure_62443_2_1[[Official ID (62443-2-1 -2020)]:[Official ID (62443-2-1 -2020)]],""))</f>
        <v/>
      </c>
      <c r="Z3" t="str">
        <f t="array" ref="Z3">_xlfn.TEXTJOIN("; ",TRUE,IF(Measure_62443_2_1[G 0.46 Loss of Integrity of Sensitive Information]="X",Measure_62443_2_1[[Official ID (62443-2-1 -2020)]:[Official ID (62443-2-1 -2020)]],""))</f>
        <v/>
      </c>
      <c r="AA3" t="str">
        <f t="array" ref="AA3">_xlfn.TEXTJOIN("; ",TRUE,IF(Measure_62443_2_1[G 0.47 Harmful Side Effects of IT-Supported Attacks]="X",Measure_62443_2_1[[Official ID (62443-2-1 -2020)]:[Official ID (62443-2-1 -2020)]],""))</f>
        <v/>
      </c>
      <c r="AB3" t="str">
        <f t="array" ref="AB3">_xlfn.TEXTJOIN("; ",TRUE,IF(Measure_62443_2_1[IND.1.2 Insufficient integration of OT into the security organisation]="X",Measure_62443_2_1[[Official ID (62443-2-1 -2020)]:[Official ID (62443-2-1 -2020)]],""))</f>
        <v/>
      </c>
      <c r="AC3" t="str">
        <f t="array" ref="AC3">_xlfn.TEXTJOIN("; ",TRUE,IF(Measure_62443_2_1[IND.1.3 Insufficient integration of OT into operational processes]="X",Measure_62443_2_1[[Official ID (62443-2-1 -2020)]:[Official ID (62443-2-1 -2020)]],""))</f>
        <v/>
      </c>
      <c r="AD3" t="str">
        <f t="array" ref="AD3">_xlfn.TEXTJOIN("; ",TRUE,IF(Measure_62443_2_1[IND.1.4 Insufficient access protection]="X",Measure_62443_2_1[[Official ID (62443-2-1 -2020)]:[Official ID (62443-2-1 -2020)]],""))</f>
        <v/>
      </c>
      <c r="AE3" t="str">
        <f t="array" ref="AE3">_xlfn.TEXTJOIN("; ",TRUE,IF(Measure_62443_2_1[IND.1.5 Insecure project planning process/application development process]="X",Measure_62443_2_1[[Official ID (62443-2-1 -2020)]:[Official ID (62443-2-1 -2020)]],""))</f>
        <v/>
      </c>
      <c r="AF3" t="str">
        <f t="array" ref="AF3">_xlfn.TEXTJOIN("; ",TRUE,IF(Measure_62443_2_1[IND.1.6 Insecure administration concept and remote administration]="X",Measure_62443_2_1[[Official ID (62443-2-1 -2020)]:[Official ID (62443-2-1 -2020)]],""))</f>
        <v/>
      </c>
      <c r="AG3" t="str">
        <f t="array" ref="AG3">_xlfn.TEXTJOIN("; ",TRUE,IF(Measure_62443_2_1[IND.1.7 Insufficient monitoring and detection procedures]="X",Measure_62443_2_1[[Official ID (62443-2-1 -2020)]:[Official ID (62443-2-1 -2020)]],""))</f>
        <v/>
      </c>
      <c r="AH3" t="str">
        <f t="array" ref="AH3">_xlfn.TEXTJOIN("; ",TRUE,IF(Measure_62443_2_1[IND.1.8 Insufficient test concept]="X",Measure_62443_2_1[[Official ID (62443-2-1 -2020)]:[Official ID (62443-2-1 -2020)]],""))</f>
        <v/>
      </c>
      <c r="AI3" t="str">
        <f t="array" ref="AI3">_xlfn.TEXTJOIN("; ",TRUE,IF(Measure_62443_2_1[IND.1.9 Insufficient life cycle concepts]="X",Measure_62443_2_1[[Official ID (62443-2-1 -2020)]:[Official ID (62443-2-1 -2020)]],""))</f>
        <v/>
      </c>
      <c r="AJ3" t="str">
        <f t="array" ref="AJ3">_xlfn.TEXTJOIN("; ",TRUE,IF(Measure_62443_2_1[IND.1.10 Insufficient security requirements for procurement]="X",Measure_62443_2_1[[Official ID (62443-2-1 -2020)]:[Official ID (62443-2-1 -2020)]],""))</f>
        <v/>
      </c>
      <c r="AK3" t="str">
        <f t="array" ref="AK3">_xlfn.TEXTJOIN("; ",TRUE,IF(Measure_62443_2_1[IND.1.11 Use of insecure protocols]="X",Measure_62443_2_1[[Official ID (62443-2-1 -2020)]:[Official ID (62443-2-1 -2020)]],""))</f>
        <v/>
      </c>
      <c r="AL3" t="str">
        <f t="array" ref="AL3">_xlfn.TEXTJOIN("; ",TRUE,IF(Measure_62443_2_1[IND.1.12 Insecure configurations of components]="X",Measure_62443_2_1[[Official ID (62443-2-1 -2020)]:[Official ID (62443-2-1 -2020)]],""))</f>
        <v/>
      </c>
      <c r="AM3" t="str">
        <f t="array" ref="AM3">_xlfn.TEXTJOIN("; ",TRUE,IF(Measure_62443_2_1[IND.1.13 Dependencies of OT on IT networks]="X",Measure_62443_2_1[[Official ID (62443-2-1 -2020)]:[Official ID (62443-2-1 -2020)]],""))</f>
        <v/>
      </c>
      <c r="AN3" t="str">
        <f t="array" ref="AN3">_xlfn.TEXTJOIN("; ",TRUE,IF(Measure_62443_2_1[IND.2.1.2 Insufficient user and authorisation management]="X",Measure_62443_2_1[[Official ID (62443-2-1 -2020)]:[Official ID (62443-2-1 -2020)]],""))</f>
        <v/>
      </c>
      <c r="AO3" t="str">
        <f t="array" ref="AO3">_xlfn.TEXTJOIN("; ",TRUE,IF(Measure_62443_2_1[IND.2.1.3 Insufficient logging]="X",Measure_62443_2_1[[Official ID (62443-2-1 -2020)]:[Official ID (62443-2-1 -2020)]],""))</f>
        <v/>
      </c>
      <c r="AP3" t="str">
        <f t="array" ref="AP3">_xlfn.TEXTJOIN("; ",TRUE,IF(Measure_62443_2_1[IND.2.1.9 Manipulated firmware]="X",Measure_62443_2_1[[Official ID (62443-2-1 -2020)]:[Official ID (62443-2-1 -2020)]],""))</f>
        <v/>
      </c>
      <c r="AQ3" t="str">
        <f t="array" ref="AQ3">_xlfn.TEXTJOIN("; ",TRUE,IF(Measure_62443_2_1[IND.2.2.1 Incomplete documentation]="X",Measure_62443_2_1[[Official ID (62443-2-1 -2020)]:[Official ID (62443-2-1 -2020)]],""))</f>
        <v/>
      </c>
      <c r="AR3" t="str">
        <f t="array" ref="AR3">_xlfn.TEXTJOIN("; ",TRUE,IF(Measure_62443_2_1[IND.3.2.1 Incompletely documented remote maintenance access in the OT]="X",Measure_62443_2_1[[Official ID (62443-2-1 -2020)]:[Official ID (62443-2-1 -2020)]],""))</f>
        <v/>
      </c>
      <c r="AS3" t="str">
        <f t="array" ref="AS3">_xlfn.TEXTJOIN("; ",TRUE,IF(Measure_62443_2_1[IND.3.2.2 Insufficient availability due to dependencies on office and building IT]="X",Measure_62443_2_1[[Official ID (62443-2-1 -2020)]:[Official ID (62443-2-1 -2020)]],""))</f>
        <v/>
      </c>
      <c r="AT3" t="str">
        <f t="array" ref="AT3">_xlfn.TEXTJOIN("; ",TRUE,IF(Measure_62443_2_1[IND.3.2.3 Insufficient regulations for the use of OT remote maintenance access]="X",Measure_62443_2_1[[Official ID (62443-2-1 -2020)]:[Official ID (62443-2-1 -2020)]],""))</f>
        <v/>
      </c>
      <c r="AU3" t="str">
        <f t="array" ref="AU3">_xlfn.TEXTJOIN("; ",TRUE,IF(Measure_62443_2_1[IND.3.2.4 Insufficient human oversight over OT remote maintenance sessions]="X",Measure_62443_2_1[[Official ID (62443-2-1 -2020)]:[Official ID (62443-2-1 -2020)]],""))</f>
        <v/>
      </c>
      <c r="AV3" t="str">
        <f t="array" ref="AV3">_xlfn.TEXTJOIN("; ",TRUE,IF(Measure_62443_2_1[IND.3.2.5 Direct IP-based access to systems from insecure zones]="X",Measure_62443_2_1[[Official ID (62443-2-1 -2020)]:[Official ID (62443-2-1 -2020)]],""))</f>
        <v/>
      </c>
      <c r="AW3" t="str">
        <f t="array" ref="AW3">_xlfn.TEXTJOIN("; ",TRUE,IF(Measure_62443_2_1[IND.3.2.6 Insecure alternative OT remote maintenance access in the event of faults]="X",Measure_62443_2_1[[Official ID (62443-2-1 -2020)]:[Official ID (62443-2-1 -2020)]],""))</f>
        <v/>
      </c>
      <c r="AX3" t="str">
        <f t="array" ref="AX3">_xlfn.TEXTJOIN("; ",TRUE,IF(Measure_62443_2_1[IND.3.2.7 Insecure design of OT remote maintenance accesses]="X",Measure_62443_2_1[[Official ID (62443-2-1 -2020)]:[Official ID (62443-2-1 -2020)]],""))</f>
        <v/>
      </c>
      <c r="AY3" t="str">
        <f t="array" ref="AY3">_xlfn.TEXTJOIN("; ",TRUE,IF(Measure_62443_2_1[IND.3.2.8 Outdated technical concepts for OT remote maintenance access]="X",Measure_62443_2_1[[Official ID (62443-2-1 -2020)]:[Official ID (62443-2-1 -2020)]],""))</f>
        <v/>
      </c>
      <c r="AZ3" t="str">
        <f t="array" ref="AZ3">_xlfn.TEXTJOIN("; ",TRUE,IF(Measure_62443_2_1[CON.1.1 Insufficient key management for encryption]="X",Measure_62443_2_1[[Official ID (62443-2-1 -2020)]:[Official ID (62443-2-1 -2020)]],""))</f>
        <v/>
      </c>
      <c r="BA3" t="str">
        <f t="array" ref="BA3">_xlfn.TEXTJOIN("; ",TRUE,IF(Measure_62443_2_1[CON.1.8 Compromise of cryptographic keys]="X",Measure_62443_2_1[[Official ID (62443-2-1 -2020)]:[Official ID (62443-2-1 -2020)]],""))</f>
        <v/>
      </c>
      <c r="BB3" t="str">
        <f t="array" ref="BB3">_xlfn.TEXTJOIN("; ",TRUE,IF(Measure_62443_2_1[CON.1.9 Forged certificates]="X",Measure_62443_2_1[[Official ID (62443-2-1 -2020)]:[Official ID (62443-2-1 -2020)]],""))</f>
        <v/>
      </c>
      <c r="BC3" t="str">
        <f t="array" ref="BC3">_xlfn.TEXTJOIN("; ",TRUE,IF(Measure_62443_2_1[CON.3.1 Missing data backup]="X",Measure_62443_2_1[[Official ID (62443-2-1 -2020)]:[Official ID (62443-2-1 -2020)]],""))</f>
        <v/>
      </c>
      <c r="BD3" t="str">
        <f t="array" ref="BD3">_xlfn.TEXTJOIN("; ",TRUE,IF(Measure_62443_2_1[CON.3.2 Missing recovery tests]="X",Measure_62443_2_1[[Official ID (62443-2-1 -2020)]:[Official ID (62443-2-1 -2020)]],""))</f>
        <v/>
      </c>
      <c r="BE3" t="str">
        <f t="array" ref="BE3">_xlfn.TEXTJOIN("; ",TRUE,IF(Measure_62443_2_1[OPS.1.1.3.5 Problems with the automated distribution of patches and changes]="X",Measure_62443_2_1[[Official ID (62443-2-1 -2020)]:[Official ID (62443-2-1 -2020)]],""))</f>
        <v/>
      </c>
      <c r="BF3" t="str">
        <f t="array" ref="BF3">_xlfn.TEXTJOIN("; ",TRUE,IF(Measure_62443_2_1[OPS.1.1.3.6 Insufficient recovery options for patch and change management]="X",Measure_62443_2_1[[Official ID (62443-2-1 -2020)]:[Official ID (62443-2-1 -2020)]],""))</f>
        <v/>
      </c>
      <c r="BG3" t="str">
        <f t="array" ref="BG3">_xlfn.TEXTJOIN("; ",TRUE,IF(Measure_62443_2_1[OPS.1.1.3.8 Manipulation of data and tools during patch and change management]="X",Measure_62443_2_1[[Official ID (62443-2-1 -2020)]:[Official ID (62443-2-1 -2020)]],""))</f>
        <v/>
      </c>
      <c r="BH3" t="str">
        <f t="array" ref="BH3">_xlfn.TEXTJOIN("; ",TRUE,IF(Measure_62443_2_1[Official ID (62443-2-1 -2020)]="X",Measure_62443_2_1[[Official ID (62443-2-1 -2020)]:[Official ID (62443-2-1 -2020)]],""))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>COMP 1.1</v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Insecure project planning process/application development process</v>
      </c>
      <c r="B37" t="str">
        <v/>
      </c>
    </row>
    <row r="38" spans="1:2">
      <c r="A38" t="str">
        <v>IND.1.6 Insecure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insecure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"/>
  <dimension ref="A2:L71"/>
  <sheetViews>
    <sheetView workbookViewId="0">
      <selection activeCell="H2" sqref="H2:I7"/>
    </sheetView>
  </sheetViews>
  <sheetFormatPr baseColWidth="10" defaultColWidth="11.5546875" defaultRowHeight="14.4"/>
  <cols>
    <col min="1" max="1" width="29" customWidth="1"/>
    <col min="8" max="8" width="14.33203125" customWidth="1"/>
  </cols>
  <sheetData>
    <row r="2" spans="1:12">
      <c r="A2" t="s">
        <v>546</v>
      </c>
      <c r="B2" t="s">
        <v>167</v>
      </c>
      <c r="D2" t="s">
        <v>406</v>
      </c>
      <c r="H2" t="s">
        <v>38</v>
      </c>
      <c r="I2" t="s">
        <v>458</v>
      </c>
      <c r="K2" t="s">
        <v>406</v>
      </c>
      <c r="L2" t="s">
        <v>458</v>
      </c>
    </row>
    <row r="3" spans="1:12">
      <c r="A3" t="s">
        <v>547</v>
      </c>
      <c r="B3" s="1" t="s">
        <v>47</v>
      </c>
      <c r="D3" t="s">
        <v>82</v>
      </c>
      <c r="H3" t="s">
        <v>163</v>
      </c>
      <c r="I3">
        <v>1</v>
      </c>
      <c r="K3" t="s">
        <v>84</v>
      </c>
      <c r="L3">
        <v>1</v>
      </c>
    </row>
    <row r="4" spans="1:12">
      <c r="A4" t="s">
        <v>548</v>
      </c>
      <c r="B4" s="1" t="s">
        <v>48</v>
      </c>
      <c r="D4" t="s">
        <v>86</v>
      </c>
      <c r="H4" t="s">
        <v>454</v>
      </c>
      <c r="I4">
        <v>2</v>
      </c>
      <c r="K4" t="s">
        <v>81</v>
      </c>
      <c r="L4">
        <v>2</v>
      </c>
    </row>
    <row r="5" spans="1:12">
      <c r="A5" t="s">
        <v>549</v>
      </c>
      <c r="B5" s="2" t="s">
        <v>49</v>
      </c>
      <c r="D5" t="s">
        <v>81</v>
      </c>
      <c r="H5" t="s">
        <v>455</v>
      </c>
      <c r="I5">
        <v>3</v>
      </c>
      <c r="K5" t="s">
        <v>86</v>
      </c>
      <c r="L5">
        <v>3</v>
      </c>
    </row>
    <row r="6" spans="1:12">
      <c r="A6" t="s">
        <v>550</v>
      </c>
      <c r="B6" s="1" t="s">
        <v>50</v>
      </c>
      <c r="D6" t="s">
        <v>84</v>
      </c>
      <c r="H6" t="s">
        <v>456</v>
      </c>
      <c r="I6">
        <v>4</v>
      </c>
      <c r="K6" t="s">
        <v>82</v>
      </c>
      <c r="L6">
        <v>4</v>
      </c>
    </row>
    <row r="7" spans="1:12">
      <c r="B7" s="2" t="s">
        <v>51</v>
      </c>
      <c r="H7" t="s">
        <v>457</v>
      </c>
      <c r="I7">
        <v>5</v>
      </c>
    </row>
    <row r="8" spans="1:12">
      <c r="B8" s="2" t="s">
        <v>52</v>
      </c>
    </row>
    <row r="9" spans="1:12">
      <c r="B9" s="2" t="s">
        <v>53</v>
      </c>
      <c r="H9" t="s">
        <v>458</v>
      </c>
      <c r="I9" t="s">
        <v>38</v>
      </c>
      <c r="K9" t="s">
        <v>458</v>
      </c>
      <c r="L9" t="s">
        <v>406</v>
      </c>
    </row>
    <row r="10" spans="1:12">
      <c r="H10">
        <f t="shared" ref="H10:H14" si="0">I3</f>
        <v>1</v>
      </c>
      <c r="I10" t="str">
        <f>H3</f>
        <v>Low</v>
      </c>
      <c r="K10">
        <f t="shared" ref="K10:K13" si="1">L3</f>
        <v>1</v>
      </c>
      <c r="L10" t="str">
        <f t="shared" ref="L10:L13" si="2">K3</f>
        <v>D</v>
      </c>
    </row>
    <row r="11" spans="1:12">
      <c r="H11">
        <f t="shared" si="0"/>
        <v>2</v>
      </c>
      <c r="I11" t="str">
        <f t="shared" ref="I11:I14" si="3">H4</f>
        <v>Medium</v>
      </c>
      <c r="K11">
        <f t="shared" si="1"/>
        <v>2</v>
      </c>
      <c r="L11" t="str">
        <f t="shared" si="2"/>
        <v>C</v>
      </c>
    </row>
    <row r="12" spans="1:12">
      <c r="H12">
        <f t="shared" si="0"/>
        <v>3</v>
      </c>
      <c r="I12" t="str">
        <f t="shared" si="3"/>
        <v>Significant</v>
      </c>
      <c r="K12">
        <f t="shared" si="1"/>
        <v>3</v>
      </c>
      <c r="L12" t="str">
        <f t="shared" si="2"/>
        <v>B</v>
      </c>
    </row>
    <row r="13" spans="1:12">
      <c r="H13">
        <f t="shared" si="0"/>
        <v>4</v>
      </c>
      <c r="I13" t="str">
        <f t="shared" si="3"/>
        <v>High</v>
      </c>
      <c r="K13">
        <f t="shared" si="1"/>
        <v>4</v>
      </c>
      <c r="L13" t="str">
        <f t="shared" si="2"/>
        <v>A</v>
      </c>
    </row>
    <row r="14" spans="1:12">
      <c r="H14">
        <f t="shared" si="0"/>
        <v>5</v>
      </c>
      <c r="I14" t="str">
        <f t="shared" si="3"/>
        <v>Very high</v>
      </c>
    </row>
    <row r="60" spans="1:1" ht="26.1" customHeight="1">
      <c r="A60" s="13" t="s">
        <v>551</v>
      </c>
    </row>
    <row r="61" spans="1:1">
      <c r="A61" s="14" t="s">
        <v>552</v>
      </c>
    </row>
    <row r="62" spans="1:1">
      <c r="A62" s="14" t="s">
        <v>553</v>
      </c>
    </row>
    <row r="63" spans="1:1">
      <c r="A63" s="14" t="s">
        <v>554</v>
      </c>
    </row>
    <row r="64" spans="1:1">
      <c r="A64" s="14" t="s">
        <v>555</v>
      </c>
    </row>
    <row r="65" spans="1:1">
      <c r="A65" s="14" t="s">
        <v>556</v>
      </c>
    </row>
    <row r="66" spans="1:1">
      <c r="A66" s="14" t="s">
        <v>557</v>
      </c>
    </row>
    <row r="67" spans="1:1">
      <c r="A67" s="14" t="s">
        <v>558</v>
      </c>
    </row>
    <row r="68" spans="1:1">
      <c r="A68" s="14" t="s">
        <v>559</v>
      </c>
    </row>
    <row r="69" spans="1:1">
      <c r="A69" s="14" t="s">
        <v>560</v>
      </c>
    </row>
    <row r="70" spans="1:1">
      <c r="A70" s="14" t="s">
        <v>561</v>
      </c>
    </row>
    <row r="71" spans="1:1">
      <c r="A71" s="15" t="s">
        <v>562</v>
      </c>
    </row>
  </sheetData>
  <pageMargins left="0.7" right="0.7" top="0.78740157499999996" bottom="0.78740157499999996" header="0.3" footer="0.3"/>
  <pageSetup paperSize="9" orientation="portrait"/>
  <tableParts count="5">
    <tablePart r:id="rId1"/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499984740745262"/>
  </sheetPr>
  <dimension ref="A1:M4"/>
  <sheetViews>
    <sheetView workbookViewId="0">
      <selection sqref="A1:M1"/>
    </sheetView>
  </sheetViews>
  <sheetFormatPr baseColWidth="10" defaultColWidth="11.44140625" defaultRowHeight="14.4"/>
  <cols>
    <col min="1" max="2" width="17" customWidth="1"/>
    <col min="3" max="3" width="32.88671875" customWidth="1"/>
    <col min="4" max="4" width="22.33203125" customWidth="1"/>
  </cols>
  <sheetData>
    <row r="1" spans="1:13" ht="36.6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21">
      <c r="A2" s="46" t="s">
        <v>24</v>
      </c>
      <c r="B2" s="45"/>
      <c r="C2" s="45"/>
      <c r="D2" s="45"/>
    </row>
    <row r="3" spans="1:13">
      <c r="A3" t="s">
        <v>25</v>
      </c>
      <c r="B3" t="s">
        <v>26</v>
      </c>
      <c r="C3" t="s">
        <v>27</v>
      </c>
      <c r="D3" t="s">
        <v>28</v>
      </c>
    </row>
    <row r="4" spans="1:13">
      <c r="A4" s="19" t="s">
        <v>29</v>
      </c>
      <c r="B4" s="20"/>
      <c r="D4" s="71"/>
    </row>
  </sheetData>
  <mergeCells count="1">
    <mergeCell ref="A1:M1"/>
  </mergeCells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6">
    <tabColor theme="2" tint="-0.499984740745262"/>
  </sheetPr>
  <dimension ref="A1:M8"/>
  <sheetViews>
    <sheetView zoomScaleNormal="100" workbookViewId="0">
      <selection activeCell="D22" sqref="D22"/>
    </sheetView>
  </sheetViews>
  <sheetFormatPr baseColWidth="10" defaultColWidth="11.44140625" defaultRowHeight="14.4"/>
  <cols>
    <col min="1" max="1" width="48.5546875" style="10" bestFit="1" customWidth="1"/>
    <col min="2" max="2" width="58.5546875" style="10" bestFit="1" customWidth="1"/>
    <col min="3" max="4" width="11.44140625" style="9" customWidth="1"/>
    <col min="5" max="16384" width="11.44140625" style="9"/>
  </cols>
  <sheetData>
    <row r="1" spans="1:13" ht="36.6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23.4">
      <c r="A2" s="23" t="s">
        <v>30</v>
      </c>
      <c r="B2" s="23" t="s">
        <v>31</v>
      </c>
    </row>
    <row r="4" spans="1:13">
      <c r="A4" s="28"/>
      <c r="B4" s="11" t="s">
        <v>32</v>
      </c>
    </row>
    <row r="5" spans="1:13">
      <c r="A5" s="11" t="s">
        <v>33</v>
      </c>
    </row>
    <row r="6" spans="1:13">
      <c r="A6" s="11" t="s">
        <v>34</v>
      </c>
    </row>
    <row r="7" spans="1:13">
      <c r="A7" s="11" t="s">
        <v>35</v>
      </c>
    </row>
    <row r="8" spans="1:13" ht="28.8">
      <c r="A8" s="11" t="s">
        <v>36</v>
      </c>
    </row>
  </sheetData>
  <mergeCells count="1">
    <mergeCell ref="A1:M1"/>
  </mergeCells>
  <pageMargins left="0.7" right="0.7" top="0.78740157499999996" bottom="0.78740157499999996" header="0.3" footer="0.3"/>
  <pageSetup paperSize="9" orientation="portrait" horizontalDpi="4294967294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tabColor rgb="FF00B0F0"/>
    <pageSetUpPr fitToPage="1"/>
  </sheetPr>
  <dimension ref="A1:AI65"/>
  <sheetViews>
    <sheetView zoomScaleNormal="100" workbookViewId="0">
      <pane xSplit="8" ySplit="5" topLeftCell="I6" activePane="bottomRight" state="frozenSplit"/>
      <selection pane="topRight" activeCell="J1" sqref="J1"/>
      <selection pane="bottomLeft" activeCell="A5" sqref="A5"/>
      <selection pane="bottomRight" activeCell="T19" sqref="T19"/>
    </sheetView>
  </sheetViews>
  <sheetFormatPr baseColWidth="10" defaultColWidth="11.44140625" defaultRowHeight="14.4"/>
  <cols>
    <col min="1" max="1" width="76.6640625" style="10" customWidth="1"/>
    <col min="2" max="7" width="5.6640625" style="10" customWidth="1"/>
    <col min="8" max="8" width="5.6640625" style="9" customWidth="1"/>
    <col min="9" max="9" width="10.109375" style="9" customWidth="1"/>
    <col min="10" max="10" width="32.5546875" style="10" customWidth="1"/>
    <col min="11" max="13" width="11" style="9" customWidth="1"/>
    <col min="14" max="16" width="6.6640625" style="9" customWidth="1"/>
    <col min="17" max="19" width="6.6640625" style="9" hidden="1" customWidth="1"/>
    <col min="20" max="20" width="6.6640625" style="9" customWidth="1"/>
    <col min="21" max="23" width="11" style="9" hidden="1" customWidth="1"/>
    <col min="24" max="24" width="11" style="9" customWidth="1"/>
    <col min="25" max="25" width="31.6640625" style="191" customWidth="1"/>
    <col min="26" max="28" width="7.6640625" style="9" hidden="1" customWidth="1"/>
    <col min="29" max="29" width="12.44140625" style="9" hidden="1" customWidth="1"/>
    <col min="30" max="30" width="12" style="9" hidden="1" customWidth="1"/>
    <col min="31" max="31" width="11" style="9" hidden="1" customWidth="1"/>
    <col min="32" max="32" width="11.88671875" style="9" hidden="1" customWidth="1"/>
    <col min="33" max="33" width="12.88671875" style="9" hidden="1" customWidth="1"/>
    <col min="34" max="34" width="12.5546875" style="9" hidden="1" customWidth="1"/>
    <col min="35" max="35" width="11.88671875" style="9" hidden="1" customWidth="1"/>
    <col min="36" max="37" width="11.44140625" style="9" customWidth="1"/>
    <col min="38" max="16384" width="11.44140625" style="9"/>
  </cols>
  <sheetData>
    <row r="1" spans="1:35" ht="28.95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101"/>
      <c r="AC1" s="101"/>
      <c r="AD1" s="101"/>
      <c r="AE1" s="101"/>
      <c r="AF1" s="101"/>
      <c r="AG1" s="101"/>
      <c r="AH1" s="101"/>
    </row>
    <row r="2" spans="1:35">
      <c r="A2" s="234" t="s">
        <v>37</v>
      </c>
      <c r="B2" s="235"/>
      <c r="C2" s="235"/>
      <c r="D2" s="235"/>
      <c r="E2" s="235"/>
      <c r="F2" s="235"/>
      <c r="G2" s="235"/>
      <c r="H2" s="236"/>
      <c r="I2" s="238" t="s">
        <v>38</v>
      </c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102"/>
      <c r="AC2" s="102"/>
      <c r="AD2" s="102"/>
      <c r="AE2" s="102"/>
      <c r="AF2" s="102"/>
      <c r="AG2" s="102"/>
      <c r="AH2" s="102"/>
      <c r="AI2" s="48"/>
    </row>
    <row r="3" spans="1:35" ht="15" thickBot="1">
      <c r="A3" s="47" t="s">
        <v>39</v>
      </c>
      <c r="B3" s="237" t="s">
        <v>40</v>
      </c>
      <c r="C3" s="235"/>
      <c r="D3" s="235"/>
      <c r="E3" s="235"/>
      <c r="F3" s="235"/>
      <c r="G3" s="235"/>
      <c r="H3" s="236"/>
      <c r="I3" s="73" t="s">
        <v>41</v>
      </c>
      <c r="J3" s="47" t="s">
        <v>44</v>
      </c>
      <c r="K3" s="237" t="s">
        <v>42</v>
      </c>
      <c r="L3" s="237"/>
      <c r="M3" s="237"/>
      <c r="N3" s="237" t="s">
        <v>43</v>
      </c>
      <c r="O3" s="237"/>
      <c r="P3" s="237"/>
      <c r="Q3" s="237"/>
      <c r="R3" s="237"/>
      <c r="S3" s="237"/>
      <c r="T3" s="237"/>
      <c r="U3" s="73"/>
      <c r="V3" s="73"/>
      <c r="W3" s="73"/>
      <c r="X3" s="73"/>
      <c r="Z3" s="73"/>
      <c r="AA3" s="73"/>
      <c r="AB3" s="73"/>
      <c r="AC3" s="73"/>
      <c r="AD3" s="73"/>
      <c r="AE3" s="73"/>
      <c r="AF3" s="73"/>
      <c r="AG3" s="73"/>
      <c r="AH3" s="73"/>
    </row>
    <row r="4" spans="1:35" ht="29.4" thickBot="1">
      <c r="A4" s="47"/>
      <c r="B4" s="237"/>
      <c r="C4" s="235"/>
      <c r="D4" s="235"/>
      <c r="E4" s="235"/>
      <c r="F4" s="235"/>
      <c r="G4" s="235"/>
      <c r="H4" s="236"/>
      <c r="I4" s="73"/>
      <c r="J4" s="47"/>
      <c r="K4" s="73"/>
      <c r="L4" s="73"/>
      <c r="M4" s="117" t="s">
        <v>45</v>
      </c>
      <c r="N4" s="153" t="str">
        <f>IFERROR(VLOOKUP(MAX(Attacker_Threat_Zone[Impact
C-Value]),Impact_Mapping_Reverse[],2,FALSE),"-")</f>
        <v>A</v>
      </c>
      <c r="O4" s="153" t="str">
        <f>IFERROR(VLOOKUP(MAX(Attacker_Threat_Zone[Impact
I -Value]),Impact_Mapping_Reverse[],2,FALSE),"-")</f>
        <v>B</v>
      </c>
      <c r="P4" s="154" t="str">
        <f>IFERROR(VLOOKUP(MAX(Attacker_Threat_Zone[Impact
A-Value]),Impact_Mapping_Reverse[],2,FALSE),"-")</f>
        <v>A</v>
      </c>
      <c r="Q4" s="155"/>
      <c r="R4" s="155"/>
      <c r="S4" s="73"/>
      <c r="T4" s="73"/>
      <c r="U4" s="73"/>
      <c r="V4" s="73"/>
      <c r="W4" s="73"/>
      <c r="X4" s="73"/>
      <c r="Z4" s="73"/>
      <c r="AA4" s="73"/>
      <c r="AB4" s="73"/>
      <c r="AC4" s="73"/>
      <c r="AD4" s="73"/>
      <c r="AE4" s="73"/>
      <c r="AF4" s="73"/>
      <c r="AG4" s="73"/>
      <c r="AH4" s="73"/>
      <c r="AI4" s="73"/>
    </row>
    <row r="5" spans="1:35" ht="43.5" customHeight="1">
      <c r="A5" s="36" t="s">
        <v>46</v>
      </c>
      <c r="B5" s="37" t="s">
        <v>47</v>
      </c>
      <c r="C5" s="37" t="s">
        <v>48</v>
      </c>
      <c r="D5" s="37" t="s">
        <v>49</v>
      </c>
      <c r="E5" s="37" t="s">
        <v>50</v>
      </c>
      <c r="F5" s="37" t="s">
        <v>51</v>
      </c>
      <c r="G5" s="37" t="s">
        <v>52</v>
      </c>
      <c r="H5" s="37" t="s">
        <v>53</v>
      </c>
      <c r="I5" s="38" t="s">
        <v>54</v>
      </c>
      <c r="J5" s="49" t="s">
        <v>79</v>
      </c>
      <c r="K5" s="112" t="s">
        <v>55</v>
      </c>
      <c r="L5" s="112" t="s">
        <v>56</v>
      </c>
      <c r="M5" s="114" t="s">
        <v>57</v>
      </c>
      <c r="N5" s="115" t="s">
        <v>58</v>
      </c>
      <c r="O5" s="115" t="s">
        <v>60</v>
      </c>
      <c r="P5" s="115" t="s">
        <v>62</v>
      </c>
      <c r="Q5" s="116" t="s">
        <v>59</v>
      </c>
      <c r="R5" s="116" t="s">
        <v>61</v>
      </c>
      <c r="S5" s="106" t="s">
        <v>63</v>
      </c>
      <c r="T5" s="113" t="s">
        <v>64</v>
      </c>
      <c r="U5" s="106" t="s">
        <v>65</v>
      </c>
      <c r="V5" s="106" t="s">
        <v>66</v>
      </c>
      <c r="W5" s="106" t="s">
        <v>67</v>
      </c>
      <c r="X5" s="113" t="s">
        <v>68</v>
      </c>
      <c r="Y5" s="192" t="s">
        <v>572</v>
      </c>
      <c r="Z5" s="106" t="s">
        <v>69</v>
      </c>
      <c r="AA5" s="106" t="s">
        <v>70</v>
      </c>
      <c r="AB5" s="106" t="s">
        <v>71</v>
      </c>
      <c r="AC5" s="106" t="s">
        <v>72</v>
      </c>
      <c r="AD5" s="106" t="s">
        <v>73</v>
      </c>
      <c r="AE5" s="106" t="s">
        <v>74</v>
      </c>
      <c r="AF5" s="106" t="s">
        <v>75</v>
      </c>
      <c r="AG5" s="106" t="s">
        <v>76</v>
      </c>
      <c r="AH5" s="106" t="s">
        <v>77</v>
      </c>
      <c r="AI5" s="106" t="s">
        <v>78</v>
      </c>
    </row>
    <row r="6" spans="1:35">
      <c r="A6" s="35" t="s">
        <v>80</v>
      </c>
      <c r="B6" s="163" t="s">
        <v>81</v>
      </c>
      <c r="C6" s="163" t="s">
        <v>81</v>
      </c>
      <c r="D6" s="163" t="s">
        <v>9</v>
      </c>
      <c r="E6" s="163" t="s">
        <v>81</v>
      </c>
      <c r="F6" s="163" t="s">
        <v>81</v>
      </c>
      <c r="G6" s="163" t="s">
        <v>9</v>
      </c>
      <c r="H6" s="163" t="s">
        <v>9</v>
      </c>
      <c r="I6" s="164" t="s">
        <v>570</v>
      </c>
      <c r="J6" s="195"/>
      <c r="K6" s="165">
        <v>1</v>
      </c>
      <c r="L6" s="165">
        <v>1</v>
      </c>
      <c r="M6" s="133">
        <f>IF(AND(COUNT(Attacker_Threat_Zone[[#This Row],[Exposure]:[Vulnerability]])=2,Attacker_Threat_Zone[[#This Row],[Relevance]]="Yes"),MAX(Attacker_Threat_Zone[[#This Row],[Exposure]]+Attacker_Threat_Zone[[#This Row],[Vulnerability]]-1,1),"")</f>
        <v>1</v>
      </c>
      <c r="N6" s="165" t="s">
        <v>82</v>
      </c>
      <c r="O6" s="165"/>
      <c r="P6" s="165"/>
      <c r="Q6" s="133">
        <f>IFERROR(VLOOKUP(Attacker_Threat_Zone[[#This Row],[Impact
C]],Impact_Mapping[],2,FALSE),0)</f>
        <v>4</v>
      </c>
      <c r="R6" s="133">
        <f>IFERROR(VLOOKUP(Attacker_Threat_Zone[[#This Row],[Impact
I]],Impact_Mapping[],2,FALSE),0)</f>
        <v>0</v>
      </c>
      <c r="S6" s="133">
        <f>IFERROR(VLOOKUP(Attacker_Threat_Zone[[#This Row],[Impact
A]],Impact_Mapping[],2,FALSE),0)</f>
        <v>0</v>
      </c>
      <c r="T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>A</v>
      </c>
      <c r="U6" s="111" t="str" cm="1">
        <f t="array" ref="U6">INDEX(Risk!$C$4:$F$8,Attacker_Threat_Zone[[#This Row],[Likelihood]],VLOOKUP(Attacker_Threat_Zone[[#This Row],[Impact
C]],Impact_Mapping[],2,FALSE))</f>
        <v>Medium</v>
      </c>
      <c r="V6" s="111" t="e" cm="1">
        <f t="array" ref="V6">INDEX(Risk!$C$4:$F$8,Attacker_Threat_Zone[[#This Row],[Likelihood]],VLOOKUP(Attacker_Threat_Zone[[#This Row],[Impact
I]],Impact_Mapping[],2,FALSE))</f>
        <v>#N/A</v>
      </c>
      <c r="W6" s="111" t="e" cm="1">
        <f t="array" ref="W6">INDEX(Risk!$C$4:$F$8,Attacker_Threat_Zone[[#This Row],[Likelihood]],VLOOKUP(Attacker_Threat_Zone[[#This Row],[Impact
A]],Impact_Mapping[],2,FALSE))</f>
        <v>#N/A</v>
      </c>
      <c r="X6" s="152" t="str" cm="1">
        <f t="array" ref="X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>Medium</v>
      </c>
      <c r="Y6" s="193"/>
      <c r="Z6" s="110">
        <f>IF(Attacker_Threat_Zone[[#This Row],[Relevance]]="No"," ",MAX(VLOOKUP(Attacker_Threat_Zone[[#This Row],[Risk
C]],SL_Mapping[],2,FALSE),0))</f>
        <v>1</v>
      </c>
      <c r="AA6" s="110" t="e">
        <f>IF(Attacker_Threat_Zone[[#This Row],[Relevance]]="No"," ",MAX(VLOOKUP(Attacker_Threat_Zone[[#This Row],[Risk
I]],SL_Mapping[],2,FALSE),0))</f>
        <v>#N/A</v>
      </c>
      <c r="AB6" s="110" t="e">
        <f>IF(Attacker_Threat_Zone[[#This Row],[Relevance]]="No"," ",MAX(VLOOKUP(Attacker_Threat_Zone[[#This Row],[Risk
A]],SL_Mapping[],2,FALSE),0))</f>
        <v>#N/A</v>
      </c>
      <c r="AC6" s="107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1</v>
      </c>
      <c r="AD6" s="107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1</v>
      </c>
      <c r="AE6" s="107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" s="107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1</v>
      </c>
      <c r="AG6" s="107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1</v>
      </c>
      <c r="AH6" s="107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" s="107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7" spans="1:35">
      <c r="A7" s="35" t="s">
        <v>83</v>
      </c>
      <c r="B7" s="163" t="s">
        <v>81</v>
      </c>
      <c r="C7" s="163" t="s">
        <v>81</v>
      </c>
      <c r="D7" s="163" t="s">
        <v>9</v>
      </c>
      <c r="E7" s="163" t="s">
        <v>81</v>
      </c>
      <c r="F7" s="163" t="s">
        <v>81</v>
      </c>
      <c r="G7" s="163" t="s">
        <v>9</v>
      </c>
      <c r="H7" s="163" t="s">
        <v>9</v>
      </c>
      <c r="I7" s="164" t="s">
        <v>570</v>
      </c>
      <c r="J7" s="196"/>
      <c r="K7" s="165">
        <v>3</v>
      </c>
      <c r="L7" s="165">
        <v>3</v>
      </c>
      <c r="M7" s="133">
        <f>IF(AND(COUNT(Attacker_Threat_Zone[[#This Row],[Exposure]:[Vulnerability]])=2,Attacker_Threat_Zone[[#This Row],[Relevance]]="Yes"),MAX(Attacker_Threat_Zone[[#This Row],[Exposure]]+Attacker_Threat_Zone[[#This Row],[Vulnerability]]-1,1),"")</f>
        <v>5</v>
      </c>
      <c r="N7" s="165"/>
      <c r="O7" s="165" t="s">
        <v>86</v>
      </c>
      <c r="P7" s="165"/>
      <c r="Q7" s="133">
        <f>IFERROR(VLOOKUP(Attacker_Threat_Zone[[#This Row],[Impact
C]],Impact_Mapping[],2,FALSE),0)</f>
        <v>0</v>
      </c>
      <c r="R7" s="133">
        <f>IFERROR(VLOOKUP(Attacker_Threat_Zone[[#This Row],[Impact
I]],Impact_Mapping[],2,FALSE),0)</f>
        <v>3</v>
      </c>
      <c r="S7" s="133">
        <f>IFERROR(VLOOKUP(Attacker_Threat_Zone[[#This Row],[Impact
A]],Impact_Mapping[],2,FALSE),0)</f>
        <v>0</v>
      </c>
      <c r="T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>B</v>
      </c>
      <c r="U7" s="111" t="e" cm="1">
        <f t="array" ref="U7">INDEX(Risk!$C$4:$F$8,Attacker_Threat_Zone[[#This Row],[Likelihood]],VLOOKUP(Attacker_Threat_Zone[[#This Row],[Impact
C]],Impact_Mapping[],2,FALSE))</f>
        <v>#N/A</v>
      </c>
      <c r="V7" s="111" t="str" cm="1">
        <f t="array" ref="V7">INDEX(Risk!$C$4:$F$8,Attacker_Threat_Zone[[#This Row],[Likelihood]],VLOOKUP(Attacker_Threat_Zone[[#This Row],[Impact
I]],Impact_Mapping[],2,FALSE))</f>
        <v>High</v>
      </c>
      <c r="W7" s="111" t="e" cm="1">
        <f t="array" ref="W7">INDEX(Risk!$C$4:$F$8,Attacker_Threat_Zone[[#This Row],[Likelihood]],VLOOKUP(Attacker_Threat_Zone[[#This Row],[Impact
A]],Impact_Mapping[],2,FALSE))</f>
        <v>#N/A</v>
      </c>
      <c r="X7" s="152" t="str" cm="1">
        <f t="array" ref="X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>High</v>
      </c>
      <c r="Y7" s="193"/>
      <c r="Z7" s="110" t="e">
        <f>IF(Attacker_Threat_Zone[[#This Row],[Relevance]]="No"," ",MAX(VLOOKUP(Attacker_Threat_Zone[[#This Row],[Risk
C]],SL_Mapping[],2,FALSE),0))</f>
        <v>#N/A</v>
      </c>
      <c r="AA7" s="110">
        <f>IF(Attacker_Threat_Zone[[#This Row],[Relevance]]="No"," ",MAX(VLOOKUP(Attacker_Threat_Zone[[#This Row],[Risk
I]],SL_Mapping[],2,FALSE),0))</f>
        <v>3</v>
      </c>
      <c r="AB7" s="110" t="e">
        <f>IF(Attacker_Threat_Zone[[#This Row],[Relevance]]="No"," ",MAX(VLOOKUP(Attacker_Threat_Zone[[#This Row],[Risk
A]],SL_Mapping[],2,FALSE),0))</f>
        <v>#N/A</v>
      </c>
      <c r="AC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8" spans="1:35">
      <c r="A8" s="35" t="s">
        <v>85</v>
      </c>
      <c r="B8" s="163" t="s">
        <v>81</v>
      </c>
      <c r="C8" s="163" t="s">
        <v>81</v>
      </c>
      <c r="D8" s="163" t="s">
        <v>9</v>
      </c>
      <c r="E8" s="163" t="s">
        <v>81</v>
      </c>
      <c r="F8" s="163" t="s">
        <v>81</v>
      </c>
      <c r="G8" s="163" t="s">
        <v>9</v>
      </c>
      <c r="H8" s="163" t="s">
        <v>9</v>
      </c>
      <c r="I8" s="164" t="s">
        <v>570</v>
      </c>
      <c r="J8" s="196"/>
      <c r="K8" s="165"/>
      <c r="L8" s="165"/>
      <c r="M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8" s="165"/>
      <c r="O8" s="165"/>
      <c r="P8" s="165" t="s">
        <v>86</v>
      </c>
      <c r="Q8" s="133">
        <f>IFERROR(VLOOKUP(Attacker_Threat_Zone[[#This Row],[Impact
C]],Impact_Mapping[],2,FALSE),0)</f>
        <v>0</v>
      </c>
      <c r="R8" s="133">
        <f>IFERROR(VLOOKUP(Attacker_Threat_Zone[[#This Row],[Impact
I]],Impact_Mapping[],2,FALSE),0)</f>
        <v>0</v>
      </c>
      <c r="S8" s="133">
        <f>IFERROR(VLOOKUP(Attacker_Threat_Zone[[#This Row],[Impact
A]],Impact_Mapping[],2,FALSE),0)</f>
        <v>3</v>
      </c>
      <c r="T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>B</v>
      </c>
      <c r="U8" s="111" t="e" cm="1">
        <f t="array" ref="U8">INDEX(Risk!$C$4:$F$8,Attacker_Threat_Zone[[#This Row],[Likelihood]],VLOOKUP(Attacker_Threat_Zone[[#This Row],[Impact
C]],Impact_Mapping[],2,FALSE))</f>
        <v>#VALUE!</v>
      </c>
      <c r="V8" s="111" t="e" cm="1">
        <f t="array" ref="V8">INDEX(Risk!$C$4:$F$8,Attacker_Threat_Zone[[#This Row],[Likelihood]],VLOOKUP(Attacker_Threat_Zone[[#This Row],[Impact
I]],Impact_Mapping[],2,FALSE))</f>
        <v>#VALUE!</v>
      </c>
      <c r="W8" s="111" t="e" cm="1">
        <f t="array" ref="W8">INDEX(Risk!$C$4:$F$8,Attacker_Threat_Zone[[#This Row],[Likelihood]],VLOOKUP(Attacker_Threat_Zone[[#This Row],[Impact
A]],Impact_Mapping[],2,FALSE))</f>
        <v>#VALUE!</v>
      </c>
      <c r="X8" s="152" t="str" cm="1">
        <f t="array" ref="X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8" s="193"/>
      <c r="Z8" s="110" t="e">
        <f>IF(Attacker_Threat_Zone[[#This Row],[Relevance]]="No"," ",MAX(VLOOKUP(Attacker_Threat_Zone[[#This Row],[Risk
C]],SL_Mapping[],2,FALSE),0))</f>
        <v>#VALUE!</v>
      </c>
      <c r="AA8" s="110" t="e">
        <f>IF(Attacker_Threat_Zone[[#This Row],[Relevance]]="No"," ",MAX(VLOOKUP(Attacker_Threat_Zone[[#This Row],[Risk
I]],SL_Mapping[],2,FALSE),0))</f>
        <v>#VALUE!</v>
      </c>
      <c r="AB8" s="110" t="e">
        <f>IF(Attacker_Threat_Zone[[#This Row],[Relevance]]="No"," ",MAX(VLOOKUP(Attacker_Threat_Zone[[#This Row],[Risk
A]],SL_Mapping[],2,FALSE),0))</f>
        <v>#VALUE!</v>
      </c>
      <c r="AC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9" spans="1:35">
      <c r="A9" s="35" t="s">
        <v>87</v>
      </c>
      <c r="B9" s="163" t="s">
        <v>88</v>
      </c>
      <c r="C9" s="163" t="s">
        <v>88</v>
      </c>
      <c r="D9" s="163" t="s">
        <v>9</v>
      </c>
      <c r="E9" s="163" t="s">
        <v>81</v>
      </c>
      <c r="F9" s="163" t="s">
        <v>88</v>
      </c>
      <c r="G9" s="163" t="s">
        <v>82</v>
      </c>
      <c r="H9" s="163" t="s">
        <v>82</v>
      </c>
      <c r="I9" s="164" t="s">
        <v>570</v>
      </c>
      <c r="J9" s="196"/>
      <c r="K9" s="165">
        <v>3</v>
      </c>
      <c r="L9" s="165">
        <v>3</v>
      </c>
      <c r="M9" s="133">
        <f>IF(AND(COUNT(Attacker_Threat_Zone[[#This Row],[Exposure]:[Vulnerability]])=2,Attacker_Threat_Zone[[#This Row],[Relevance]]="Yes"),MAX(Attacker_Threat_Zone[[#This Row],[Exposure]]+Attacker_Threat_Zone[[#This Row],[Vulnerability]]-1,1),"")</f>
        <v>5</v>
      </c>
      <c r="N9" s="165"/>
      <c r="O9" s="165"/>
      <c r="P9" s="165" t="s">
        <v>82</v>
      </c>
      <c r="Q9" s="133">
        <f>IFERROR(VLOOKUP(Attacker_Threat_Zone[[#This Row],[Impact
C]],Impact_Mapping[],2,FALSE),0)</f>
        <v>0</v>
      </c>
      <c r="R9" s="133">
        <f>IFERROR(VLOOKUP(Attacker_Threat_Zone[[#This Row],[Impact
I]],Impact_Mapping[],2,FALSE),0)</f>
        <v>0</v>
      </c>
      <c r="S9" s="133">
        <f>IFERROR(VLOOKUP(Attacker_Threat_Zone[[#This Row],[Impact
A]],Impact_Mapping[],2,FALSE),0)</f>
        <v>4</v>
      </c>
      <c r="T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>A</v>
      </c>
      <c r="U9" s="111" t="e" cm="1">
        <f t="array" ref="U9">INDEX(Risk!$C$4:$F$8,Attacker_Threat_Zone[[#This Row],[Likelihood]],VLOOKUP(Attacker_Threat_Zone[[#This Row],[Impact
C]],Impact_Mapping[],2,FALSE))</f>
        <v>#N/A</v>
      </c>
      <c r="V9" s="111" t="e" cm="1">
        <f t="array" ref="V9">INDEX(Risk!$C$4:$F$8,Attacker_Threat_Zone[[#This Row],[Likelihood]],VLOOKUP(Attacker_Threat_Zone[[#This Row],[Impact
I]],Impact_Mapping[],2,FALSE))</f>
        <v>#N/A</v>
      </c>
      <c r="W9" s="111" t="str" cm="1">
        <f t="array" ref="W9">INDEX(Risk!$C$4:$F$8,Attacker_Threat_Zone[[#This Row],[Likelihood]],VLOOKUP(Attacker_Threat_Zone[[#This Row],[Impact
A]],Impact_Mapping[],2,FALSE))</f>
        <v>Very high</v>
      </c>
      <c r="X9" s="152" t="str" cm="1">
        <f t="array" ref="X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>Very high</v>
      </c>
      <c r="Y9" s="193"/>
      <c r="Z9" s="110" t="e">
        <f>IF(Attacker_Threat_Zone[[#This Row],[Relevance]]="No"," ",MAX(VLOOKUP(Attacker_Threat_Zone[[#This Row],[Risk
C]],SL_Mapping[],2,FALSE),0))</f>
        <v>#N/A</v>
      </c>
      <c r="AA9" s="110" t="e">
        <f>IF(Attacker_Threat_Zone[[#This Row],[Relevance]]="No"," ",MAX(VLOOKUP(Attacker_Threat_Zone[[#This Row],[Risk
I]],SL_Mapping[],2,FALSE),0))</f>
        <v>#N/A</v>
      </c>
      <c r="AB9" s="110">
        <f>IF(Attacker_Threat_Zone[[#This Row],[Relevance]]="No"," ",MAX(VLOOKUP(Attacker_Threat_Zone[[#This Row],[Risk
A]],SL_Mapping[],2,FALSE),0))</f>
        <v>4</v>
      </c>
      <c r="AC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4</v>
      </c>
      <c r="AI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4</v>
      </c>
    </row>
    <row r="10" spans="1:35">
      <c r="A10" s="35" t="s">
        <v>89</v>
      </c>
      <c r="B10" s="163" t="s">
        <v>88</v>
      </c>
      <c r="C10" s="163" t="s">
        <v>88</v>
      </c>
      <c r="D10" s="163" t="s">
        <v>9</v>
      </c>
      <c r="E10" s="163" t="s">
        <v>81</v>
      </c>
      <c r="F10" s="163" t="s">
        <v>88</v>
      </c>
      <c r="G10" s="163" t="s">
        <v>82</v>
      </c>
      <c r="H10" s="163" t="s">
        <v>82</v>
      </c>
      <c r="I10" s="164"/>
      <c r="J10" s="196"/>
      <c r="K10" s="165"/>
      <c r="L10" s="165"/>
      <c r="M1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0" s="165"/>
      <c r="O10" s="165"/>
      <c r="P10" s="165"/>
      <c r="Q10" s="133">
        <f>IFERROR(VLOOKUP(Attacker_Threat_Zone[[#This Row],[Impact
C]],Impact_Mapping[],2,FALSE),0)</f>
        <v>0</v>
      </c>
      <c r="R10" s="133">
        <f>IFERROR(VLOOKUP(Attacker_Threat_Zone[[#This Row],[Impact
I]],Impact_Mapping[],2,FALSE),0)</f>
        <v>0</v>
      </c>
      <c r="S10" s="133">
        <f>IFERROR(VLOOKUP(Attacker_Threat_Zone[[#This Row],[Impact
A]],Impact_Mapping[],2,FALSE),0)</f>
        <v>0</v>
      </c>
      <c r="T1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0" s="111" t="e" cm="1">
        <f t="array" ref="U10">INDEX(Risk!$C$4:$F$8,Attacker_Threat_Zone[[#This Row],[Likelihood]],VLOOKUP(Attacker_Threat_Zone[[#This Row],[Impact
C]],Impact_Mapping[],2,FALSE))</f>
        <v>#VALUE!</v>
      </c>
      <c r="V10" s="111" t="e" cm="1">
        <f t="array" ref="V10">INDEX(Risk!$C$4:$F$8,Attacker_Threat_Zone[[#This Row],[Likelihood]],VLOOKUP(Attacker_Threat_Zone[[#This Row],[Impact
I]],Impact_Mapping[],2,FALSE))</f>
        <v>#VALUE!</v>
      </c>
      <c r="W10" s="111" t="e" cm="1">
        <f t="array" ref="W10">INDEX(Risk!$C$4:$F$8,Attacker_Threat_Zone[[#This Row],[Likelihood]],VLOOKUP(Attacker_Threat_Zone[[#This Row],[Impact
A]],Impact_Mapping[],2,FALSE))</f>
        <v>#VALUE!</v>
      </c>
      <c r="X10" s="152" t="str" cm="1">
        <f t="array" ref="X1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0" s="193"/>
      <c r="Z10" s="110" t="e">
        <f>IF(Attacker_Threat_Zone[[#This Row],[Relevance]]="No"," ",MAX(VLOOKUP(Attacker_Threat_Zone[[#This Row],[Risk
C]],SL_Mapping[],2,FALSE),0))</f>
        <v>#VALUE!</v>
      </c>
      <c r="AA10" s="110" t="e">
        <f>IF(Attacker_Threat_Zone[[#This Row],[Relevance]]="No"," ",MAX(VLOOKUP(Attacker_Threat_Zone[[#This Row],[Risk
I]],SL_Mapping[],2,FALSE),0))</f>
        <v>#VALUE!</v>
      </c>
      <c r="AB10" s="110" t="e">
        <f>IF(Attacker_Threat_Zone[[#This Row],[Relevance]]="No"," ",MAX(VLOOKUP(Attacker_Threat_Zone[[#This Row],[Risk
A]],SL_Mapping[],2,FALSE),0))</f>
        <v>#VALUE!</v>
      </c>
      <c r="AC1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1" spans="1:35">
      <c r="A11" s="35" t="s">
        <v>91</v>
      </c>
      <c r="B11" s="163" t="s">
        <v>81</v>
      </c>
      <c r="C11" s="163" t="s">
        <v>81</v>
      </c>
      <c r="D11" s="163" t="s">
        <v>9</v>
      </c>
      <c r="E11" s="163" t="s">
        <v>81</v>
      </c>
      <c r="F11" s="163" t="s">
        <v>81</v>
      </c>
      <c r="G11" s="163" t="s">
        <v>9</v>
      </c>
      <c r="H11" s="163" t="s">
        <v>9</v>
      </c>
      <c r="I11" s="164"/>
      <c r="J11" s="196"/>
      <c r="K11" s="165"/>
      <c r="L11" s="165"/>
      <c r="M1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1" s="165"/>
      <c r="O11" s="165"/>
      <c r="P11" s="165"/>
      <c r="Q11" s="133">
        <f>IFERROR(VLOOKUP(Attacker_Threat_Zone[[#This Row],[Impact
C]],Impact_Mapping[],2,FALSE),0)</f>
        <v>0</v>
      </c>
      <c r="R11" s="133">
        <f>IFERROR(VLOOKUP(Attacker_Threat_Zone[[#This Row],[Impact
I]],Impact_Mapping[],2,FALSE),0)</f>
        <v>0</v>
      </c>
      <c r="S11" s="133">
        <f>IFERROR(VLOOKUP(Attacker_Threat_Zone[[#This Row],[Impact
A]],Impact_Mapping[],2,FALSE),0)</f>
        <v>0</v>
      </c>
      <c r="T1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1" s="111" t="e" cm="1">
        <f t="array" ref="U11">INDEX(Risk!$C$4:$F$8,Attacker_Threat_Zone[[#This Row],[Likelihood]],VLOOKUP(Attacker_Threat_Zone[[#This Row],[Impact
C]],Impact_Mapping[],2,FALSE))</f>
        <v>#VALUE!</v>
      </c>
      <c r="V11" s="111" t="e" cm="1">
        <f t="array" ref="V11">INDEX(Risk!$C$4:$F$8,Attacker_Threat_Zone[[#This Row],[Likelihood]],VLOOKUP(Attacker_Threat_Zone[[#This Row],[Impact
I]],Impact_Mapping[],2,FALSE))</f>
        <v>#VALUE!</v>
      </c>
      <c r="W11" s="111" t="e" cm="1">
        <f t="array" ref="W11">INDEX(Risk!$C$4:$F$8,Attacker_Threat_Zone[[#This Row],[Likelihood]],VLOOKUP(Attacker_Threat_Zone[[#This Row],[Impact
A]],Impact_Mapping[],2,FALSE))</f>
        <v>#VALUE!</v>
      </c>
      <c r="X11" s="152" t="str" cm="1">
        <f t="array" ref="X1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1" s="193"/>
      <c r="Z11" s="110" t="e">
        <f>IF(Attacker_Threat_Zone[[#This Row],[Relevance]]="No"," ",MAX(VLOOKUP(Attacker_Threat_Zone[[#This Row],[Risk
C]],SL_Mapping[],2,FALSE),0))</f>
        <v>#VALUE!</v>
      </c>
      <c r="AA11" s="110" t="e">
        <f>IF(Attacker_Threat_Zone[[#This Row],[Relevance]]="No"," ",MAX(VLOOKUP(Attacker_Threat_Zone[[#This Row],[Risk
I]],SL_Mapping[],2,FALSE),0))</f>
        <v>#VALUE!</v>
      </c>
      <c r="AB11" s="110" t="e">
        <f>IF(Attacker_Threat_Zone[[#This Row],[Relevance]]="No"," ",MAX(VLOOKUP(Attacker_Threat_Zone[[#This Row],[Risk
A]],SL_Mapping[],2,FALSE),0))</f>
        <v>#VALUE!</v>
      </c>
      <c r="AC11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1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1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1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1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1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1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2" spans="1:35">
      <c r="A12" s="35" t="s">
        <v>92</v>
      </c>
      <c r="B12" s="163" t="s">
        <v>95</v>
      </c>
      <c r="C12" s="163" t="s">
        <v>95</v>
      </c>
      <c r="D12" s="163" t="s">
        <v>93</v>
      </c>
      <c r="E12" s="163" t="s">
        <v>81</v>
      </c>
      <c r="F12" s="163" t="s">
        <v>95</v>
      </c>
      <c r="G12" s="163" t="s">
        <v>96</v>
      </c>
      <c r="H12" s="163" t="s">
        <v>82</v>
      </c>
      <c r="I12" s="164"/>
      <c r="J12" s="196"/>
      <c r="K12" s="165"/>
      <c r="L12" s="165"/>
      <c r="M1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2" s="165"/>
      <c r="O12" s="165"/>
      <c r="P12" s="165"/>
      <c r="Q12" s="133">
        <f>IFERROR(VLOOKUP(Attacker_Threat_Zone[[#This Row],[Impact
C]],Impact_Mapping[],2,FALSE),0)</f>
        <v>0</v>
      </c>
      <c r="R12" s="133">
        <f>IFERROR(VLOOKUP(Attacker_Threat_Zone[[#This Row],[Impact
I]],Impact_Mapping[],2,FALSE),0)</f>
        <v>0</v>
      </c>
      <c r="S12" s="133">
        <f>IFERROR(VLOOKUP(Attacker_Threat_Zone[[#This Row],[Impact
A]],Impact_Mapping[],2,FALSE),0)</f>
        <v>0</v>
      </c>
      <c r="T1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2" s="111" t="e" cm="1">
        <f t="array" ref="U12">INDEX(Risk!$C$4:$F$8,Attacker_Threat_Zone[[#This Row],[Likelihood]],VLOOKUP(Attacker_Threat_Zone[[#This Row],[Impact
C]],Impact_Mapping[],2,FALSE))</f>
        <v>#VALUE!</v>
      </c>
      <c r="V12" s="111" t="e" cm="1">
        <f t="array" ref="V12">INDEX(Risk!$C$4:$F$8,Attacker_Threat_Zone[[#This Row],[Likelihood]],VLOOKUP(Attacker_Threat_Zone[[#This Row],[Impact
I]],Impact_Mapping[],2,FALSE))</f>
        <v>#VALUE!</v>
      </c>
      <c r="W12" s="111" t="e" cm="1">
        <f t="array" ref="W12">INDEX(Risk!$C$4:$F$8,Attacker_Threat_Zone[[#This Row],[Likelihood]],VLOOKUP(Attacker_Threat_Zone[[#This Row],[Impact
A]],Impact_Mapping[],2,FALSE))</f>
        <v>#VALUE!</v>
      </c>
      <c r="X12" s="152" t="str" cm="1">
        <f t="array" ref="X1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2" s="193"/>
      <c r="Z12" s="110" t="e">
        <f>IF(Attacker_Threat_Zone[[#This Row],[Relevance]]="No"," ",MAX(VLOOKUP(Attacker_Threat_Zone[[#This Row],[Risk
C]],SL_Mapping[],2,FALSE),0))</f>
        <v>#VALUE!</v>
      </c>
      <c r="AA12" s="110" t="e">
        <f>IF(Attacker_Threat_Zone[[#This Row],[Relevance]]="No"," ",MAX(VLOOKUP(Attacker_Threat_Zone[[#This Row],[Risk
I]],SL_Mapping[],2,FALSE),0))</f>
        <v>#VALUE!</v>
      </c>
      <c r="AB12" s="110" t="e">
        <f>IF(Attacker_Threat_Zone[[#This Row],[Relevance]]="No"," ",MAX(VLOOKUP(Attacker_Threat_Zone[[#This Row],[Risk
A]],SL_Mapping[],2,FALSE),0))</f>
        <v>#VALUE!</v>
      </c>
      <c r="AC1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3" spans="1:35">
      <c r="A13" s="35" t="s">
        <v>94</v>
      </c>
      <c r="B13" s="163" t="s">
        <v>95</v>
      </c>
      <c r="C13" s="163" t="s">
        <v>95</v>
      </c>
      <c r="D13" s="163" t="s">
        <v>93</v>
      </c>
      <c r="E13" s="163" t="s">
        <v>81</v>
      </c>
      <c r="F13" s="163" t="s">
        <v>95</v>
      </c>
      <c r="G13" s="163" t="s">
        <v>96</v>
      </c>
      <c r="H13" s="163" t="s">
        <v>82</v>
      </c>
      <c r="I13" s="164"/>
      <c r="J13" s="196"/>
      <c r="K13" s="165"/>
      <c r="L13" s="165"/>
      <c r="M1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3" s="165"/>
      <c r="O13" s="165"/>
      <c r="P13" s="165"/>
      <c r="Q13" s="133">
        <f>IFERROR(VLOOKUP(Attacker_Threat_Zone[[#This Row],[Impact
C]],Impact_Mapping[],2,FALSE),0)</f>
        <v>0</v>
      </c>
      <c r="R13" s="133">
        <f>IFERROR(VLOOKUP(Attacker_Threat_Zone[[#This Row],[Impact
I]],Impact_Mapping[],2,FALSE),0)</f>
        <v>0</v>
      </c>
      <c r="S13" s="133">
        <f>IFERROR(VLOOKUP(Attacker_Threat_Zone[[#This Row],[Impact
A]],Impact_Mapping[],2,FALSE),0)</f>
        <v>0</v>
      </c>
      <c r="T1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3" s="111" t="e" cm="1">
        <f t="array" ref="U13">INDEX(Risk!$C$4:$F$8,Attacker_Threat_Zone[[#This Row],[Likelihood]],VLOOKUP(Attacker_Threat_Zone[[#This Row],[Impact
C]],Impact_Mapping[],2,FALSE))</f>
        <v>#VALUE!</v>
      </c>
      <c r="V13" s="111" t="e" cm="1">
        <f t="array" ref="V13">INDEX(Risk!$C$4:$F$8,Attacker_Threat_Zone[[#This Row],[Likelihood]],VLOOKUP(Attacker_Threat_Zone[[#This Row],[Impact
I]],Impact_Mapping[],2,FALSE))</f>
        <v>#VALUE!</v>
      </c>
      <c r="W13" s="111" t="e" cm="1">
        <f t="array" ref="W13">INDEX(Risk!$C$4:$F$8,Attacker_Threat_Zone[[#This Row],[Likelihood]],VLOOKUP(Attacker_Threat_Zone[[#This Row],[Impact
A]],Impact_Mapping[],2,FALSE))</f>
        <v>#VALUE!</v>
      </c>
      <c r="X13" s="152" t="str" cm="1">
        <f t="array" ref="X1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3" s="193"/>
      <c r="Z13" s="110" t="e">
        <f>IF(Attacker_Threat_Zone[[#This Row],[Relevance]]="No"," ",MAX(VLOOKUP(Attacker_Threat_Zone[[#This Row],[Risk
C]],SL_Mapping[],2,FALSE),0))</f>
        <v>#VALUE!</v>
      </c>
      <c r="AA13" s="110" t="e">
        <f>IF(Attacker_Threat_Zone[[#This Row],[Relevance]]="No"," ",MAX(VLOOKUP(Attacker_Threat_Zone[[#This Row],[Risk
I]],SL_Mapping[],2,FALSE),0))</f>
        <v>#VALUE!</v>
      </c>
      <c r="AB13" s="110" t="e">
        <f>IF(Attacker_Threat_Zone[[#This Row],[Relevance]]="No"," ",MAX(VLOOKUP(Attacker_Threat_Zone[[#This Row],[Risk
A]],SL_Mapping[],2,FALSE),0))</f>
        <v>#VALUE!</v>
      </c>
      <c r="AC1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4" spans="1:35">
      <c r="A14" s="35" t="s">
        <v>97</v>
      </c>
      <c r="B14" s="163" t="s">
        <v>93</v>
      </c>
      <c r="C14" s="163" t="s">
        <v>93</v>
      </c>
      <c r="D14" s="163" t="s">
        <v>93</v>
      </c>
      <c r="E14" s="163" t="s">
        <v>9</v>
      </c>
      <c r="F14" s="163" t="s">
        <v>93</v>
      </c>
      <c r="G14" s="163" t="s">
        <v>93</v>
      </c>
      <c r="H14" s="163" t="s">
        <v>9</v>
      </c>
      <c r="I14" s="164"/>
      <c r="J14" s="196"/>
      <c r="K14" s="165"/>
      <c r="L14" s="165"/>
      <c r="M1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4" s="165"/>
      <c r="O14" s="165"/>
      <c r="P14" s="165"/>
      <c r="Q14" s="133">
        <f>IFERROR(VLOOKUP(Attacker_Threat_Zone[[#This Row],[Impact
C]],Impact_Mapping[],2,FALSE),0)</f>
        <v>0</v>
      </c>
      <c r="R14" s="133">
        <f>IFERROR(VLOOKUP(Attacker_Threat_Zone[[#This Row],[Impact
I]],Impact_Mapping[],2,FALSE),0)</f>
        <v>0</v>
      </c>
      <c r="S14" s="133">
        <f>IFERROR(VLOOKUP(Attacker_Threat_Zone[[#This Row],[Impact
A]],Impact_Mapping[],2,FALSE),0)</f>
        <v>0</v>
      </c>
      <c r="T1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4" s="111" t="e" cm="1">
        <f t="array" ref="U14">INDEX(Risk!$C$4:$F$8,Attacker_Threat_Zone[[#This Row],[Likelihood]],VLOOKUP(Attacker_Threat_Zone[[#This Row],[Impact
C]],Impact_Mapping[],2,FALSE))</f>
        <v>#VALUE!</v>
      </c>
      <c r="V14" s="111" t="e" cm="1">
        <f t="array" ref="V14">INDEX(Risk!$C$4:$F$8,Attacker_Threat_Zone[[#This Row],[Likelihood]],VLOOKUP(Attacker_Threat_Zone[[#This Row],[Impact
I]],Impact_Mapping[],2,FALSE))</f>
        <v>#VALUE!</v>
      </c>
      <c r="W14" s="111" t="e" cm="1">
        <f t="array" ref="W14">INDEX(Risk!$C$4:$F$8,Attacker_Threat_Zone[[#This Row],[Likelihood]],VLOOKUP(Attacker_Threat_Zone[[#This Row],[Impact
A]],Impact_Mapping[],2,FALSE))</f>
        <v>#VALUE!</v>
      </c>
      <c r="X14" s="152" t="str" cm="1">
        <f t="array" ref="X1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4" s="193"/>
      <c r="Z14" s="110" t="e">
        <f>IF(Attacker_Threat_Zone[[#This Row],[Relevance]]="No"," ",MAX(VLOOKUP(Attacker_Threat_Zone[[#This Row],[Risk
C]],SL_Mapping[],2,FALSE),0))</f>
        <v>#VALUE!</v>
      </c>
      <c r="AA14" s="110" t="e">
        <f>IF(Attacker_Threat_Zone[[#This Row],[Relevance]]="No"," ",MAX(VLOOKUP(Attacker_Threat_Zone[[#This Row],[Risk
I]],SL_Mapping[],2,FALSE),0))</f>
        <v>#VALUE!</v>
      </c>
      <c r="AB14" s="110" t="e">
        <f>IF(Attacker_Threat_Zone[[#This Row],[Relevance]]="No"," ",MAX(VLOOKUP(Attacker_Threat_Zone[[#This Row],[Risk
A]],SL_Mapping[],2,FALSE),0))</f>
        <v>#VALUE!</v>
      </c>
      <c r="AC14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4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4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4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4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4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4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5" spans="1:35">
      <c r="A15" s="35" t="s">
        <v>98</v>
      </c>
      <c r="B15" s="163" t="s">
        <v>95</v>
      </c>
      <c r="C15" s="163" t="s">
        <v>95</v>
      </c>
      <c r="D15" s="163" t="s">
        <v>93</v>
      </c>
      <c r="E15" s="163" t="s">
        <v>81</v>
      </c>
      <c r="F15" s="163" t="s">
        <v>95</v>
      </c>
      <c r="G15" s="163" t="s">
        <v>96</v>
      </c>
      <c r="H15" s="163" t="s">
        <v>82</v>
      </c>
      <c r="I15" s="164"/>
      <c r="J15" s="196"/>
      <c r="K15" s="165"/>
      <c r="L15" s="165"/>
      <c r="M15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5" s="165"/>
      <c r="O15" s="165"/>
      <c r="P15" s="165"/>
      <c r="Q15" s="133">
        <f>IFERROR(VLOOKUP(Attacker_Threat_Zone[[#This Row],[Impact
C]],Impact_Mapping[],2,FALSE),0)</f>
        <v>0</v>
      </c>
      <c r="R15" s="133">
        <f>IFERROR(VLOOKUP(Attacker_Threat_Zone[[#This Row],[Impact
I]],Impact_Mapping[],2,FALSE),0)</f>
        <v>0</v>
      </c>
      <c r="S15" s="133">
        <f>IFERROR(VLOOKUP(Attacker_Threat_Zone[[#This Row],[Impact
A]],Impact_Mapping[],2,FALSE),0)</f>
        <v>0</v>
      </c>
      <c r="T15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5" s="111" t="e" cm="1">
        <f t="array" ref="U15">INDEX(Risk!$C$4:$F$8,Attacker_Threat_Zone[[#This Row],[Likelihood]],VLOOKUP(Attacker_Threat_Zone[[#This Row],[Impact
C]],Impact_Mapping[],2,FALSE))</f>
        <v>#VALUE!</v>
      </c>
      <c r="V15" s="111" t="e" cm="1">
        <f t="array" ref="V15">INDEX(Risk!$C$4:$F$8,Attacker_Threat_Zone[[#This Row],[Likelihood]],VLOOKUP(Attacker_Threat_Zone[[#This Row],[Impact
I]],Impact_Mapping[],2,FALSE))</f>
        <v>#VALUE!</v>
      </c>
      <c r="W15" s="111" t="e" cm="1">
        <f t="array" ref="W15">INDEX(Risk!$C$4:$F$8,Attacker_Threat_Zone[[#This Row],[Likelihood]],VLOOKUP(Attacker_Threat_Zone[[#This Row],[Impact
A]],Impact_Mapping[],2,FALSE))</f>
        <v>#VALUE!</v>
      </c>
      <c r="X15" s="152" t="str" cm="1">
        <f t="array" ref="X15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5" s="193"/>
      <c r="Z15" s="110" t="e">
        <f>IF(Attacker_Threat_Zone[[#This Row],[Relevance]]="No"," ",MAX(VLOOKUP(Attacker_Threat_Zone[[#This Row],[Risk
C]],SL_Mapping[],2,FALSE),0))</f>
        <v>#VALUE!</v>
      </c>
      <c r="AA15" s="110" t="e">
        <f>IF(Attacker_Threat_Zone[[#This Row],[Relevance]]="No"," ",MAX(VLOOKUP(Attacker_Threat_Zone[[#This Row],[Risk
I]],SL_Mapping[],2,FALSE),0))</f>
        <v>#VALUE!</v>
      </c>
      <c r="AB15" s="110" t="e">
        <f>IF(Attacker_Threat_Zone[[#This Row],[Relevance]]="No"," ",MAX(VLOOKUP(Attacker_Threat_Zone[[#This Row],[Risk
A]],SL_Mapping[],2,FALSE),0))</f>
        <v>#VALUE!</v>
      </c>
      <c r="AC15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5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5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5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5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5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5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6" spans="1:35">
      <c r="A16" s="35" t="s">
        <v>99</v>
      </c>
      <c r="B16" s="163" t="s">
        <v>82</v>
      </c>
      <c r="C16" s="163" t="s">
        <v>82</v>
      </c>
      <c r="D16" s="163" t="s">
        <v>9</v>
      </c>
      <c r="E16" s="163" t="s">
        <v>9</v>
      </c>
      <c r="F16" s="163" t="s">
        <v>9</v>
      </c>
      <c r="G16" s="163" t="s">
        <v>82</v>
      </c>
      <c r="H16" s="163" t="s">
        <v>82</v>
      </c>
      <c r="I16" s="164"/>
      <c r="J16" s="196"/>
      <c r="K16" s="165"/>
      <c r="L16" s="165"/>
      <c r="M16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6" s="165"/>
      <c r="O16" s="165"/>
      <c r="P16" s="165"/>
      <c r="Q16" s="133">
        <f>IFERROR(VLOOKUP(Attacker_Threat_Zone[[#This Row],[Impact
C]],Impact_Mapping[],2,FALSE),0)</f>
        <v>0</v>
      </c>
      <c r="R16" s="133">
        <f>IFERROR(VLOOKUP(Attacker_Threat_Zone[[#This Row],[Impact
I]],Impact_Mapping[],2,FALSE),0)</f>
        <v>0</v>
      </c>
      <c r="S16" s="133">
        <f>IFERROR(VLOOKUP(Attacker_Threat_Zone[[#This Row],[Impact
A]],Impact_Mapping[],2,FALSE),0)</f>
        <v>0</v>
      </c>
      <c r="T1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6" s="111" t="e" cm="1">
        <f t="array" ref="U16">INDEX(Risk!$C$4:$F$8,Attacker_Threat_Zone[[#This Row],[Likelihood]],VLOOKUP(Attacker_Threat_Zone[[#This Row],[Impact
C]],Impact_Mapping[],2,FALSE))</f>
        <v>#VALUE!</v>
      </c>
      <c r="V16" s="111" t="e" cm="1">
        <f t="array" ref="V16">INDEX(Risk!$C$4:$F$8,Attacker_Threat_Zone[[#This Row],[Likelihood]],VLOOKUP(Attacker_Threat_Zone[[#This Row],[Impact
I]],Impact_Mapping[],2,FALSE))</f>
        <v>#VALUE!</v>
      </c>
      <c r="W16" s="111" t="e" cm="1">
        <f t="array" ref="W16">INDEX(Risk!$C$4:$F$8,Attacker_Threat_Zone[[#This Row],[Likelihood]],VLOOKUP(Attacker_Threat_Zone[[#This Row],[Impact
A]],Impact_Mapping[],2,FALSE))</f>
        <v>#VALUE!</v>
      </c>
      <c r="X16" s="152" t="str" cm="1">
        <f t="array" ref="X1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6" s="193"/>
      <c r="Z16" s="110" t="e">
        <f>IF(Attacker_Threat_Zone[[#This Row],[Relevance]]="No"," ",MAX(VLOOKUP(Attacker_Threat_Zone[[#This Row],[Risk
C]],SL_Mapping[],2,FALSE),0))</f>
        <v>#VALUE!</v>
      </c>
      <c r="AA16" s="110" t="e">
        <f>IF(Attacker_Threat_Zone[[#This Row],[Relevance]]="No"," ",MAX(VLOOKUP(Attacker_Threat_Zone[[#This Row],[Risk
I]],SL_Mapping[],2,FALSE),0))</f>
        <v>#VALUE!</v>
      </c>
      <c r="AB16" s="110" t="e">
        <f>IF(Attacker_Threat_Zone[[#This Row],[Relevance]]="No"," ",MAX(VLOOKUP(Attacker_Threat_Zone[[#This Row],[Risk
A]],SL_Mapping[],2,FALSE),0))</f>
        <v>#VALUE!</v>
      </c>
      <c r="AC16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6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6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6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6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6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6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7" spans="1:35">
      <c r="A17" s="35" t="s">
        <v>100</v>
      </c>
      <c r="B17" s="163" t="s">
        <v>95</v>
      </c>
      <c r="C17" s="163" t="s">
        <v>95</v>
      </c>
      <c r="D17" s="163" t="s">
        <v>93</v>
      </c>
      <c r="E17" s="163" t="s">
        <v>81</v>
      </c>
      <c r="F17" s="163" t="s">
        <v>95</v>
      </c>
      <c r="G17" s="163" t="s">
        <v>96</v>
      </c>
      <c r="H17" s="163" t="s">
        <v>82</v>
      </c>
      <c r="I17" s="164"/>
      <c r="J17" s="196"/>
      <c r="K17" s="165"/>
      <c r="L17" s="165"/>
      <c r="M17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7" s="165"/>
      <c r="O17" s="165"/>
      <c r="P17" s="165"/>
      <c r="Q17" s="133">
        <f>IFERROR(VLOOKUP(Attacker_Threat_Zone[[#This Row],[Impact
C]],Impact_Mapping[],2,FALSE),0)</f>
        <v>0</v>
      </c>
      <c r="R17" s="133">
        <f>IFERROR(VLOOKUP(Attacker_Threat_Zone[[#This Row],[Impact
I]],Impact_Mapping[],2,FALSE),0)</f>
        <v>0</v>
      </c>
      <c r="S17" s="133">
        <f>IFERROR(VLOOKUP(Attacker_Threat_Zone[[#This Row],[Impact
A]],Impact_Mapping[],2,FALSE),0)</f>
        <v>0</v>
      </c>
      <c r="T1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7" s="111" t="e" cm="1">
        <f t="array" ref="U17">INDEX(Risk!$C$4:$F$8,Attacker_Threat_Zone[[#This Row],[Likelihood]],VLOOKUP(Attacker_Threat_Zone[[#This Row],[Impact
C]],Impact_Mapping[],2,FALSE))</f>
        <v>#VALUE!</v>
      </c>
      <c r="V17" s="111" t="e" cm="1">
        <f t="array" ref="V17">INDEX(Risk!$C$4:$F$8,Attacker_Threat_Zone[[#This Row],[Likelihood]],VLOOKUP(Attacker_Threat_Zone[[#This Row],[Impact
I]],Impact_Mapping[],2,FALSE))</f>
        <v>#VALUE!</v>
      </c>
      <c r="W17" s="111" t="e" cm="1">
        <f t="array" ref="W17">INDEX(Risk!$C$4:$F$8,Attacker_Threat_Zone[[#This Row],[Likelihood]],VLOOKUP(Attacker_Threat_Zone[[#This Row],[Impact
A]],Impact_Mapping[],2,FALSE))</f>
        <v>#VALUE!</v>
      </c>
      <c r="X17" s="152" t="str" cm="1">
        <f t="array" ref="X1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7" s="193"/>
      <c r="Z17" s="110" t="e">
        <f>IF(Attacker_Threat_Zone[[#This Row],[Relevance]]="No"," ",MAX(VLOOKUP(Attacker_Threat_Zone[[#This Row],[Risk
C]],SL_Mapping[],2,FALSE),0))</f>
        <v>#VALUE!</v>
      </c>
      <c r="AA17" s="110" t="e">
        <f>IF(Attacker_Threat_Zone[[#This Row],[Relevance]]="No"," ",MAX(VLOOKUP(Attacker_Threat_Zone[[#This Row],[Risk
I]],SL_Mapping[],2,FALSE),0))</f>
        <v>#VALUE!</v>
      </c>
      <c r="AB17" s="110" t="e">
        <f>IF(Attacker_Threat_Zone[[#This Row],[Relevance]]="No"," ",MAX(VLOOKUP(Attacker_Threat_Zone[[#This Row],[Risk
A]],SL_Mapping[],2,FALSE),0))</f>
        <v>#VALUE!</v>
      </c>
      <c r="AC1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8" spans="1:35">
      <c r="A18" s="35" t="s">
        <v>101</v>
      </c>
      <c r="B18" s="163" t="s">
        <v>95</v>
      </c>
      <c r="C18" s="163" t="s">
        <v>95</v>
      </c>
      <c r="D18" s="163" t="s">
        <v>93</v>
      </c>
      <c r="E18" s="163" t="s">
        <v>81</v>
      </c>
      <c r="F18" s="163" t="s">
        <v>95</v>
      </c>
      <c r="G18" s="163" t="s">
        <v>96</v>
      </c>
      <c r="H18" s="163" t="s">
        <v>82</v>
      </c>
      <c r="I18" s="164"/>
      <c r="J18" s="196"/>
      <c r="K18" s="165"/>
      <c r="L18" s="165"/>
      <c r="M1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8" s="165"/>
      <c r="O18" s="165"/>
      <c r="P18" s="165"/>
      <c r="Q18" s="133">
        <f>IFERROR(VLOOKUP(Attacker_Threat_Zone[[#This Row],[Impact
C]],Impact_Mapping[],2,FALSE),0)</f>
        <v>0</v>
      </c>
      <c r="R18" s="133">
        <f>IFERROR(VLOOKUP(Attacker_Threat_Zone[[#This Row],[Impact
I]],Impact_Mapping[],2,FALSE),0)</f>
        <v>0</v>
      </c>
      <c r="S18" s="133">
        <f>IFERROR(VLOOKUP(Attacker_Threat_Zone[[#This Row],[Impact
A]],Impact_Mapping[],2,FALSE),0)</f>
        <v>0</v>
      </c>
      <c r="T1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8" s="111" t="e" cm="1">
        <f t="array" ref="U18">INDEX(Risk!$C$4:$F$8,Attacker_Threat_Zone[[#This Row],[Likelihood]],VLOOKUP(Attacker_Threat_Zone[[#This Row],[Impact
C]],Impact_Mapping[],2,FALSE))</f>
        <v>#VALUE!</v>
      </c>
      <c r="V18" s="111" t="e" cm="1">
        <f t="array" ref="V18">INDEX(Risk!$C$4:$F$8,Attacker_Threat_Zone[[#This Row],[Likelihood]],VLOOKUP(Attacker_Threat_Zone[[#This Row],[Impact
I]],Impact_Mapping[],2,FALSE))</f>
        <v>#VALUE!</v>
      </c>
      <c r="W18" s="111" t="e" cm="1">
        <f t="array" ref="W18">INDEX(Risk!$C$4:$F$8,Attacker_Threat_Zone[[#This Row],[Likelihood]],VLOOKUP(Attacker_Threat_Zone[[#This Row],[Impact
A]],Impact_Mapping[],2,FALSE))</f>
        <v>#VALUE!</v>
      </c>
      <c r="X18" s="152" t="str" cm="1">
        <f t="array" ref="X1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8" s="193"/>
      <c r="Z18" s="110" t="e">
        <f>IF(Attacker_Threat_Zone[[#This Row],[Relevance]]="No"," ",MAX(VLOOKUP(Attacker_Threat_Zone[[#This Row],[Risk
C]],SL_Mapping[],2,FALSE),0))</f>
        <v>#VALUE!</v>
      </c>
      <c r="AA18" s="110" t="e">
        <f>IF(Attacker_Threat_Zone[[#This Row],[Relevance]]="No"," ",MAX(VLOOKUP(Attacker_Threat_Zone[[#This Row],[Risk
I]],SL_Mapping[],2,FALSE),0))</f>
        <v>#VALUE!</v>
      </c>
      <c r="AB18" s="110" t="e">
        <f>IF(Attacker_Threat_Zone[[#This Row],[Relevance]]="No"," ",MAX(VLOOKUP(Attacker_Threat_Zone[[#This Row],[Risk
A]],SL_Mapping[],2,FALSE),0))</f>
        <v>#VALUE!</v>
      </c>
      <c r="AC1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19" spans="1:35">
      <c r="A19" s="35" t="s">
        <v>102</v>
      </c>
      <c r="B19" s="163" t="s">
        <v>9</v>
      </c>
      <c r="C19" s="163" t="s">
        <v>95</v>
      </c>
      <c r="D19" s="163" t="s">
        <v>93</v>
      </c>
      <c r="E19" s="163" t="s">
        <v>81</v>
      </c>
      <c r="F19" s="163" t="s">
        <v>95</v>
      </c>
      <c r="G19" s="163" t="s">
        <v>96</v>
      </c>
      <c r="H19" s="163" t="s">
        <v>82</v>
      </c>
      <c r="I19" s="164"/>
      <c r="J19" s="196"/>
      <c r="K19" s="165"/>
      <c r="L19" s="165"/>
      <c r="M19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19" s="165"/>
      <c r="O19" s="165"/>
      <c r="P19" s="165"/>
      <c r="Q19" s="133">
        <f>IFERROR(VLOOKUP(Attacker_Threat_Zone[[#This Row],[Impact
C]],Impact_Mapping[],2,FALSE),0)</f>
        <v>0</v>
      </c>
      <c r="R19" s="133">
        <f>IFERROR(VLOOKUP(Attacker_Threat_Zone[[#This Row],[Impact
I]],Impact_Mapping[],2,FALSE),0)</f>
        <v>0</v>
      </c>
      <c r="S19" s="133">
        <f>IFERROR(VLOOKUP(Attacker_Threat_Zone[[#This Row],[Impact
A]],Impact_Mapping[],2,FALSE),0)</f>
        <v>0</v>
      </c>
      <c r="T1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19" s="111" t="e" cm="1">
        <f t="array" ref="U19">INDEX(Risk!$C$4:$F$8,Attacker_Threat_Zone[[#This Row],[Likelihood]],VLOOKUP(Attacker_Threat_Zone[[#This Row],[Impact
C]],Impact_Mapping[],2,FALSE))</f>
        <v>#VALUE!</v>
      </c>
      <c r="V19" s="111" t="e" cm="1">
        <f t="array" ref="V19">INDEX(Risk!$C$4:$F$8,Attacker_Threat_Zone[[#This Row],[Likelihood]],VLOOKUP(Attacker_Threat_Zone[[#This Row],[Impact
I]],Impact_Mapping[],2,FALSE))</f>
        <v>#VALUE!</v>
      </c>
      <c r="W19" s="111" t="e" cm="1">
        <f t="array" ref="W19">INDEX(Risk!$C$4:$F$8,Attacker_Threat_Zone[[#This Row],[Likelihood]],VLOOKUP(Attacker_Threat_Zone[[#This Row],[Impact
A]],Impact_Mapping[],2,FALSE))</f>
        <v>#VALUE!</v>
      </c>
      <c r="X19" s="152" t="str" cm="1">
        <f t="array" ref="X1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19" s="193"/>
      <c r="Z19" s="110" t="e">
        <f>IF(Attacker_Threat_Zone[[#This Row],[Relevance]]="No"," ",MAX(VLOOKUP(Attacker_Threat_Zone[[#This Row],[Risk
C]],SL_Mapping[],2,FALSE),0))</f>
        <v>#VALUE!</v>
      </c>
      <c r="AA19" s="110" t="e">
        <f>IF(Attacker_Threat_Zone[[#This Row],[Relevance]]="No"," ",MAX(VLOOKUP(Attacker_Threat_Zone[[#This Row],[Risk
I]],SL_Mapping[],2,FALSE),0))</f>
        <v>#VALUE!</v>
      </c>
      <c r="AB19" s="110" t="e">
        <f>IF(Attacker_Threat_Zone[[#This Row],[Relevance]]="No"," ",MAX(VLOOKUP(Attacker_Threat_Zone[[#This Row],[Risk
A]],SL_Mapping[],2,FALSE),0))</f>
        <v>#VALUE!</v>
      </c>
      <c r="AC1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1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1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1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1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1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1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0" spans="1:35">
      <c r="A20" s="35" t="s">
        <v>103</v>
      </c>
      <c r="B20" s="163" t="s">
        <v>95</v>
      </c>
      <c r="C20" s="163" t="s">
        <v>95</v>
      </c>
      <c r="D20" s="163" t="s">
        <v>93</v>
      </c>
      <c r="E20" s="163" t="s">
        <v>81</v>
      </c>
      <c r="F20" s="163" t="s">
        <v>95</v>
      </c>
      <c r="G20" s="163" t="s">
        <v>96</v>
      </c>
      <c r="H20" s="163" t="s">
        <v>82</v>
      </c>
      <c r="I20" s="164"/>
      <c r="J20" s="196"/>
      <c r="K20" s="165"/>
      <c r="L20" s="165"/>
      <c r="M2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0" s="165"/>
      <c r="O20" s="165"/>
      <c r="P20" s="165"/>
      <c r="Q20" s="133">
        <f>IFERROR(VLOOKUP(Attacker_Threat_Zone[[#This Row],[Impact
C]],Impact_Mapping[],2,FALSE),0)</f>
        <v>0</v>
      </c>
      <c r="R20" s="133">
        <f>IFERROR(VLOOKUP(Attacker_Threat_Zone[[#This Row],[Impact
I]],Impact_Mapping[],2,FALSE),0)</f>
        <v>0</v>
      </c>
      <c r="S20" s="133">
        <f>IFERROR(VLOOKUP(Attacker_Threat_Zone[[#This Row],[Impact
A]],Impact_Mapping[],2,FALSE),0)</f>
        <v>0</v>
      </c>
      <c r="T2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0" s="111" t="e" cm="1">
        <f t="array" ref="U20">INDEX(Risk!$C$4:$F$8,Attacker_Threat_Zone[[#This Row],[Likelihood]],VLOOKUP(Attacker_Threat_Zone[[#This Row],[Impact
C]],Impact_Mapping[],2,FALSE))</f>
        <v>#VALUE!</v>
      </c>
      <c r="V20" s="111" t="e" cm="1">
        <f t="array" ref="V20">INDEX(Risk!$C$4:$F$8,Attacker_Threat_Zone[[#This Row],[Likelihood]],VLOOKUP(Attacker_Threat_Zone[[#This Row],[Impact
I]],Impact_Mapping[],2,FALSE))</f>
        <v>#VALUE!</v>
      </c>
      <c r="W20" s="111" t="e" cm="1">
        <f t="array" ref="W20">INDEX(Risk!$C$4:$F$8,Attacker_Threat_Zone[[#This Row],[Likelihood]],VLOOKUP(Attacker_Threat_Zone[[#This Row],[Impact
A]],Impact_Mapping[],2,FALSE))</f>
        <v>#VALUE!</v>
      </c>
      <c r="X20" s="152" t="str" cm="1">
        <f t="array" ref="X2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0" s="193"/>
      <c r="Z20" s="110" t="e">
        <f>IF(Attacker_Threat_Zone[[#This Row],[Relevance]]="No"," ",MAX(VLOOKUP(Attacker_Threat_Zone[[#This Row],[Risk
C]],SL_Mapping[],2,FALSE),0))</f>
        <v>#VALUE!</v>
      </c>
      <c r="AA20" s="110" t="e">
        <f>IF(Attacker_Threat_Zone[[#This Row],[Relevance]]="No"," ",MAX(VLOOKUP(Attacker_Threat_Zone[[#This Row],[Risk
I]],SL_Mapping[],2,FALSE),0))</f>
        <v>#VALUE!</v>
      </c>
      <c r="AB20" s="110" t="e">
        <f>IF(Attacker_Threat_Zone[[#This Row],[Relevance]]="No"," ",MAX(VLOOKUP(Attacker_Threat_Zone[[#This Row],[Risk
A]],SL_Mapping[],2,FALSE),0))</f>
        <v>#VALUE!</v>
      </c>
      <c r="AC2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1" spans="1:35">
      <c r="A21" s="35" t="s">
        <v>104</v>
      </c>
      <c r="B21" s="163" t="s">
        <v>95</v>
      </c>
      <c r="C21" s="163" t="s">
        <v>95</v>
      </c>
      <c r="D21" s="163" t="s">
        <v>93</v>
      </c>
      <c r="E21" s="163" t="s">
        <v>81</v>
      </c>
      <c r="F21" s="163" t="s">
        <v>95</v>
      </c>
      <c r="G21" s="163" t="s">
        <v>96</v>
      </c>
      <c r="H21" s="163" t="s">
        <v>82</v>
      </c>
      <c r="I21" s="164"/>
      <c r="J21" s="196"/>
      <c r="K21" s="165"/>
      <c r="L21" s="165"/>
      <c r="M2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1" s="165"/>
      <c r="O21" s="165"/>
      <c r="P21" s="165"/>
      <c r="Q21" s="133">
        <f>IFERROR(VLOOKUP(Attacker_Threat_Zone[[#This Row],[Impact
C]],Impact_Mapping[],2,FALSE),0)</f>
        <v>0</v>
      </c>
      <c r="R21" s="133">
        <f>IFERROR(VLOOKUP(Attacker_Threat_Zone[[#This Row],[Impact
I]],Impact_Mapping[],2,FALSE),0)</f>
        <v>0</v>
      </c>
      <c r="S21" s="133">
        <f>IFERROR(VLOOKUP(Attacker_Threat_Zone[[#This Row],[Impact
A]],Impact_Mapping[],2,FALSE),0)</f>
        <v>0</v>
      </c>
      <c r="T2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1" s="111" t="e" cm="1">
        <f t="array" ref="U21">INDEX(Risk!$C$4:$F$8,Attacker_Threat_Zone[[#This Row],[Likelihood]],VLOOKUP(Attacker_Threat_Zone[[#This Row],[Impact
C]],Impact_Mapping[],2,FALSE))</f>
        <v>#VALUE!</v>
      </c>
      <c r="V21" s="111" t="e" cm="1">
        <f t="array" ref="V21">INDEX(Risk!$C$4:$F$8,Attacker_Threat_Zone[[#This Row],[Likelihood]],VLOOKUP(Attacker_Threat_Zone[[#This Row],[Impact
I]],Impact_Mapping[],2,FALSE))</f>
        <v>#VALUE!</v>
      </c>
      <c r="W21" s="111" t="e" cm="1">
        <f t="array" ref="W21">INDEX(Risk!$C$4:$F$8,Attacker_Threat_Zone[[#This Row],[Likelihood]],VLOOKUP(Attacker_Threat_Zone[[#This Row],[Impact
A]],Impact_Mapping[],2,FALSE))</f>
        <v>#VALUE!</v>
      </c>
      <c r="X21" s="152" t="str" cm="1">
        <f t="array" ref="X2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1" s="193"/>
      <c r="Z21" s="110" t="e">
        <f>IF(Attacker_Threat_Zone[[#This Row],[Relevance]]="No"," ",MAX(VLOOKUP(Attacker_Threat_Zone[[#This Row],[Risk
C]],SL_Mapping[],2,FALSE),0))</f>
        <v>#VALUE!</v>
      </c>
      <c r="AA21" s="110" t="e">
        <f>IF(Attacker_Threat_Zone[[#This Row],[Relevance]]="No"," ",MAX(VLOOKUP(Attacker_Threat_Zone[[#This Row],[Risk
I]],SL_Mapping[],2,FALSE),0))</f>
        <v>#VALUE!</v>
      </c>
      <c r="AB21" s="110" t="e">
        <f>IF(Attacker_Threat_Zone[[#This Row],[Relevance]]="No"," ",MAX(VLOOKUP(Attacker_Threat_Zone[[#This Row],[Risk
A]],SL_Mapping[],2,FALSE),0))</f>
        <v>#VALUE!</v>
      </c>
      <c r="AC21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1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1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1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1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1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1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2" spans="1:35">
      <c r="A22" s="35" t="s">
        <v>105</v>
      </c>
      <c r="B22" s="163" t="s">
        <v>95</v>
      </c>
      <c r="C22" s="163" t="s">
        <v>95</v>
      </c>
      <c r="D22" s="163" t="s">
        <v>93</v>
      </c>
      <c r="E22" s="163" t="s">
        <v>81</v>
      </c>
      <c r="F22" s="163" t="s">
        <v>95</v>
      </c>
      <c r="G22" s="163" t="s">
        <v>96</v>
      </c>
      <c r="H22" s="163" t="s">
        <v>82</v>
      </c>
      <c r="I22" s="164"/>
      <c r="J22" s="196"/>
      <c r="K22" s="165"/>
      <c r="L22" s="165"/>
      <c r="M2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2" s="165"/>
      <c r="O22" s="165"/>
      <c r="P22" s="165"/>
      <c r="Q22" s="133">
        <f>IFERROR(VLOOKUP(Attacker_Threat_Zone[[#This Row],[Impact
C]],Impact_Mapping[],2,FALSE),0)</f>
        <v>0</v>
      </c>
      <c r="R22" s="133">
        <f>IFERROR(VLOOKUP(Attacker_Threat_Zone[[#This Row],[Impact
I]],Impact_Mapping[],2,FALSE),0)</f>
        <v>0</v>
      </c>
      <c r="S22" s="133">
        <f>IFERROR(VLOOKUP(Attacker_Threat_Zone[[#This Row],[Impact
A]],Impact_Mapping[],2,FALSE),0)</f>
        <v>0</v>
      </c>
      <c r="T2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2" s="111" t="e" cm="1">
        <f t="array" ref="U22">INDEX(Risk!$C$4:$F$8,Attacker_Threat_Zone[[#This Row],[Likelihood]],VLOOKUP(Attacker_Threat_Zone[[#This Row],[Impact
C]],Impact_Mapping[],2,FALSE))</f>
        <v>#VALUE!</v>
      </c>
      <c r="V22" s="111" t="e" cm="1">
        <f t="array" ref="V22">INDEX(Risk!$C$4:$F$8,Attacker_Threat_Zone[[#This Row],[Likelihood]],VLOOKUP(Attacker_Threat_Zone[[#This Row],[Impact
I]],Impact_Mapping[],2,FALSE))</f>
        <v>#VALUE!</v>
      </c>
      <c r="W22" s="111" t="e" cm="1">
        <f t="array" ref="W22">INDEX(Risk!$C$4:$F$8,Attacker_Threat_Zone[[#This Row],[Likelihood]],VLOOKUP(Attacker_Threat_Zone[[#This Row],[Impact
A]],Impact_Mapping[],2,FALSE))</f>
        <v>#VALUE!</v>
      </c>
      <c r="X22" s="152" t="str" cm="1">
        <f t="array" ref="X2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2" s="193"/>
      <c r="Z22" s="110" t="e">
        <f>IF(Attacker_Threat_Zone[[#This Row],[Relevance]]="No"," ",MAX(VLOOKUP(Attacker_Threat_Zone[[#This Row],[Risk
C]],SL_Mapping[],2,FALSE),0))</f>
        <v>#VALUE!</v>
      </c>
      <c r="AA22" s="110" t="e">
        <f>IF(Attacker_Threat_Zone[[#This Row],[Relevance]]="No"," ",MAX(VLOOKUP(Attacker_Threat_Zone[[#This Row],[Risk
I]],SL_Mapping[],2,FALSE),0))</f>
        <v>#VALUE!</v>
      </c>
      <c r="AB22" s="110" t="e">
        <f>IF(Attacker_Threat_Zone[[#This Row],[Relevance]]="No"," ",MAX(VLOOKUP(Attacker_Threat_Zone[[#This Row],[Risk
A]],SL_Mapping[],2,FALSE),0))</f>
        <v>#VALUE!</v>
      </c>
      <c r="AC2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3" spans="1:35">
      <c r="A23" s="35" t="s">
        <v>106</v>
      </c>
      <c r="B23" s="163" t="s">
        <v>9</v>
      </c>
      <c r="C23" s="163" t="s">
        <v>96</v>
      </c>
      <c r="D23" s="163" t="s">
        <v>93</v>
      </c>
      <c r="E23" s="163" t="s">
        <v>9</v>
      </c>
      <c r="F23" s="163" t="s">
        <v>9</v>
      </c>
      <c r="G23" s="163" t="s">
        <v>96</v>
      </c>
      <c r="H23" s="163" t="s">
        <v>82</v>
      </c>
      <c r="I23" s="164"/>
      <c r="J23" s="196"/>
      <c r="K23" s="165"/>
      <c r="L23" s="165"/>
      <c r="M2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3" s="165"/>
      <c r="O23" s="165"/>
      <c r="P23" s="165"/>
      <c r="Q23" s="133">
        <f>IFERROR(VLOOKUP(Attacker_Threat_Zone[[#This Row],[Impact
C]],Impact_Mapping[],2,FALSE),0)</f>
        <v>0</v>
      </c>
      <c r="R23" s="133">
        <f>IFERROR(VLOOKUP(Attacker_Threat_Zone[[#This Row],[Impact
I]],Impact_Mapping[],2,FALSE),0)</f>
        <v>0</v>
      </c>
      <c r="S23" s="133">
        <f>IFERROR(VLOOKUP(Attacker_Threat_Zone[[#This Row],[Impact
A]],Impact_Mapping[],2,FALSE),0)</f>
        <v>0</v>
      </c>
      <c r="T2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3" s="111" t="e" cm="1">
        <f t="array" ref="U23">INDEX(Risk!$C$4:$F$8,Attacker_Threat_Zone[[#This Row],[Likelihood]],VLOOKUP(Attacker_Threat_Zone[[#This Row],[Impact
C]],Impact_Mapping[],2,FALSE))</f>
        <v>#VALUE!</v>
      </c>
      <c r="V23" s="111" t="e" cm="1">
        <f t="array" ref="V23">INDEX(Risk!$C$4:$F$8,Attacker_Threat_Zone[[#This Row],[Likelihood]],VLOOKUP(Attacker_Threat_Zone[[#This Row],[Impact
I]],Impact_Mapping[],2,FALSE))</f>
        <v>#VALUE!</v>
      </c>
      <c r="W23" s="111" t="e" cm="1">
        <f t="array" ref="W23">INDEX(Risk!$C$4:$F$8,Attacker_Threat_Zone[[#This Row],[Likelihood]],VLOOKUP(Attacker_Threat_Zone[[#This Row],[Impact
A]],Impact_Mapping[],2,FALSE))</f>
        <v>#VALUE!</v>
      </c>
      <c r="X23" s="152" t="str" cm="1">
        <f t="array" ref="X2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3" s="193"/>
      <c r="Z23" s="110" t="e">
        <f>IF(Attacker_Threat_Zone[[#This Row],[Relevance]]="No"," ",MAX(VLOOKUP(Attacker_Threat_Zone[[#This Row],[Risk
C]],SL_Mapping[],2,FALSE),0))</f>
        <v>#VALUE!</v>
      </c>
      <c r="AA23" s="110" t="e">
        <f>IF(Attacker_Threat_Zone[[#This Row],[Relevance]]="No"," ",MAX(VLOOKUP(Attacker_Threat_Zone[[#This Row],[Risk
I]],SL_Mapping[],2,FALSE),0))</f>
        <v>#VALUE!</v>
      </c>
      <c r="AB23" s="110" t="e">
        <f>IF(Attacker_Threat_Zone[[#This Row],[Relevance]]="No"," ",MAX(VLOOKUP(Attacker_Threat_Zone[[#This Row],[Risk
A]],SL_Mapping[],2,FALSE),0))</f>
        <v>#VALUE!</v>
      </c>
      <c r="AC2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4" spans="1:35">
      <c r="A24" s="35" t="s">
        <v>107</v>
      </c>
      <c r="B24" s="163" t="s">
        <v>81</v>
      </c>
      <c r="C24" s="163" t="s">
        <v>81</v>
      </c>
      <c r="D24" s="163" t="s">
        <v>9</v>
      </c>
      <c r="E24" s="163" t="s">
        <v>81</v>
      </c>
      <c r="F24" s="163" t="s">
        <v>81</v>
      </c>
      <c r="G24" s="163" t="s">
        <v>9</v>
      </c>
      <c r="H24" s="163" t="s">
        <v>9</v>
      </c>
      <c r="I24" s="164"/>
      <c r="J24" s="196"/>
      <c r="K24" s="165"/>
      <c r="L24" s="165"/>
      <c r="M2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4" s="165"/>
      <c r="O24" s="165"/>
      <c r="P24" s="165"/>
      <c r="Q24" s="133">
        <f>IFERROR(VLOOKUP(Attacker_Threat_Zone[[#This Row],[Impact
C]],Impact_Mapping[],2,FALSE),0)</f>
        <v>0</v>
      </c>
      <c r="R24" s="133">
        <f>IFERROR(VLOOKUP(Attacker_Threat_Zone[[#This Row],[Impact
I]],Impact_Mapping[],2,FALSE),0)</f>
        <v>0</v>
      </c>
      <c r="S24" s="133">
        <f>IFERROR(VLOOKUP(Attacker_Threat_Zone[[#This Row],[Impact
A]],Impact_Mapping[],2,FALSE),0)</f>
        <v>0</v>
      </c>
      <c r="T2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4" s="111" t="e" cm="1">
        <f t="array" ref="U24">INDEX(Risk!$C$4:$F$8,Attacker_Threat_Zone[[#This Row],[Likelihood]],VLOOKUP(Attacker_Threat_Zone[[#This Row],[Impact
C]],Impact_Mapping[],2,FALSE))</f>
        <v>#VALUE!</v>
      </c>
      <c r="V24" s="111" t="e" cm="1">
        <f t="array" ref="V24">INDEX(Risk!$C$4:$F$8,Attacker_Threat_Zone[[#This Row],[Likelihood]],VLOOKUP(Attacker_Threat_Zone[[#This Row],[Impact
I]],Impact_Mapping[],2,FALSE))</f>
        <v>#VALUE!</v>
      </c>
      <c r="W24" s="111" t="e" cm="1">
        <f t="array" ref="W24">INDEX(Risk!$C$4:$F$8,Attacker_Threat_Zone[[#This Row],[Likelihood]],VLOOKUP(Attacker_Threat_Zone[[#This Row],[Impact
A]],Impact_Mapping[],2,FALSE))</f>
        <v>#VALUE!</v>
      </c>
      <c r="X24" s="152" t="str" cm="1">
        <f t="array" ref="X2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4" s="193"/>
      <c r="Z24" s="110" t="e">
        <f>IF(Attacker_Threat_Zone[[#This Row],[Relevance]]="No"," ",MAX(VLOOKUP(Attacker_Threat_Zone[[#This Row],[Risk
C]],SL_Mapping[],2,FALSE),0))</f>
        <v>#VALUE!</v>
      </c>
      <c r="AA24" s="110" t="e">
        <f>IF(Attacker_Threat_Zone[[#This Row],[Relevance]]="No"," ",MAX(VLOOKUP(Attacker_Threat_Zone[[#This Row],[Risk
I]],SL_Mapping[],2,FALSE),0))</f>
        <v>#VALUE!</v>
      </c>
      <c r="AB24" s="110" t="e">
        <f>IF(Attacker_Threat_Zone[[#This Row],[Relevance]]="No"," ",MAX(VLOOKUP(Attacker_Threat_Zone[[#This Row],[Risk
A]],SL_Mapping[],2,FALSE),0))</f>
        <v>#VALUE!</v>
      </c>
      <c r="AC24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4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4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4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4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4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4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5" spans="1:35">
      <c r="A25" s="35" t="s">
        <v>108</v>
      </c>
      <c r="B25" s="163" t="s">
        <v>95</v>
      </c>
      <c r="C25" s="163" t="s">
        <v>95</v>
      </c>
      <c r="D25" s="163" t="s">
        <v>93</v>
      </c>
      <c r="E25" s="163" t="s">
        <v>81</v>
      </c>
      <c r="F25" s="163" t="s">
        <v>95</v>
      </c>
      <c r="G25" s="163" t="s">
        <v>96</v>
      </c>
      <c r="H25" s="163" t="s">
        <v>82</v>
      </c>
      <c r="I25" s="164"/>
      <c r="J25" s="196"/>
      <c r="K25" s="165"/>
      <c r="L25" s="165"/>
      <c r="M25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5" s="165"/>
      <c r="O25" s="165"/>
      <c r="P25" s="165"/>
      <c r="Q25" s="133">
        <f>IFERROR(VLOOKUP(Attacker_Threat_Zone[[#This Row],[Impact
C]],Impact_Mapping[],2,FALSE),0)</f>
        <v>0</v>
      </c>
      <c r="R25" s="133">
        <f>IFERROR(VLOOKUP(Attacker_Threat_Zone[[#This Row],[Impact
I]],Impact_Mapping[],2,FALSE),0)</f>
        <v>0</v>
      </c>
      <c r="S25" s="133">
        <f>IFERROR(VLOOKUP(Attacker_Threat_Zone[[#This Row],[Impact
A]],Impact_Mapping[],2,FALSE),0)</f>
        <v>0</v>
      </c>
      <c r="T25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5" s="111" t="e" cm="1">
        <f t="array" ref="U25">INDEX(Risk!$C$4:$F$8,Attacker_Threat_Zone[[#This Row],[Likelihood]],VLOOKUP(Attacker_Threat_Zone[[#This Row],[Impact
C]],Impact_Mapping[],2,FALSE))</f>
        <v>#VALUE!</v>
      </c>
      <c r="V25" s="111" t="e" cm="1">
        <f t="array" ref="V25">INDEX(Risk!$C$4:$F$8,Attacker_Threat_Zone[[#This Row],[Likelihood]],VLOOKUP(Attacker_Threat_Zone[[#This Row],[Impact
I]],Impact_Mapping[],2,FALSE))</f>
        <v>#VALUE!</v>
      </c>
      <c r="W25" s="111" t="e" cm="1">
        <f t="array" ref="W25">INDEX(Risk!$C$4:$F$8,Attacker_Threat_Zone[[#This Row],[Likelihood]],VLOOKUP(Attacker_Threat_Zone[[#This Row],[Impact
A]],Impact_Mapping[],2,FALSE))</f>
        <v>#VALUE!</v>
      </c>
      <c r="X25" s="152" t="str" cm="1">
        <f t="array" ref="X25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5" s="193"/>
      <c r="Z25" s="110" t="e">
        <f>IF(Attacker_Threat_Zone[[#This Row],[Relevance]]="No"," ",MAX(VLOOKUP(Attacker_Threat_Zone[[#This Row],[Risk
C]],SL_Mapping[],2,FALSE),0))</f>
        <v>#VALUE!</v>
      </c>
      <c r="AA25" s="110" t="e">
        <f>IF(Attacker_Threat_Zone[[#This Row],[Relevance]]="No"," ",MAX(VLOOKUP(Attacker_Threat_Zone[[#This Row],[Risk
I]],SL_Mapping[],2,FALSE),0))</f>
        <v>#VALUE!</v>
      </c>
      <c r="AB25" s="110" t="e">
        <f>IF(Attacker_Threat_Zone[[#This Row],[Relevance]]="No"," ",MAX(VLOOKUP(Attacker_Threat_Zone[[#This Row],[Risk
A]],SL_Mapping[],2,FALSE),0))</f>
        <v>#VALUE!</v>
      </c>
      <c r="AC25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5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5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5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5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5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5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6" spans="1:35">
      <c r="A26" s="35" t="s">
        <v>109</v>
      </c>
      <c r="B26" s="163" t="s">
        <v>82</v>
      </c>
      <c r="C26" s="163" t="s">
        <v>82</v>
      </c>
      <c r="D26" s="163" t="s">
        <v>9</v>
      </c>
      <c r="E26" s="163" t="s">
        <v>9</v>
      </c>
      <c r="F26" s="163" t="s">
        <v>9</v>
      </c>
      <c r="G26" s="163" t="s">
        <v>82</v>
      </c>
      <c r="H26" s="163" t="s">
        <v>82</v>
      </c>
      <c r="I26" s="164"/>
      <c r="J26" s="196"/>
      <c r="K26" s="165"/>
      <c r="L26" s="165"/>
      <c r="M26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6" s="165"/>
      <c r="O26" s="165"/>
      <c r="P26" s="165"/>
      <c r="Q26" s="133">
        <f>IFERROR(VLOOKUP(Attacker_Threat_Zone[[#This Row],[Impact
C]],Impact_Mapping[],2,FALSE),0)</f>
        <v>0</v>
      </c>
      <c r="R26" s="133">
        <f>IFERROR(VLOOKUP(Attacker_Threat_Zone[[#This Row],[Impact
I]],Impact_Mapping[],2,FALSE),0)</f>
        <v>0</v>
      </c>
      <c r="S26" s="133">
        <f>IFERROR(VLOOKUP(Attacker_Threat_Zone[[#This Row],[Impact
A]],Impact_Mapping[],2,FALSE),0)</f>
        <v>0</v>
      </c>
      <c r="T2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6" s="111" t="e" cm="1">
        <f t="array" ref="U26">INDEX(Risk!$C$4:$F$8,Attacker_Threat_Zone[[#This Row],[Likelihood]],VLOOKUP(Attacker_Threat_Zone[[#This Row],[Impact
C]],Impact_Mapping[],2,FALSE))</f>
        <v>#VALUE!</v>
      </c>
      <c r="V26" s="111" t="e" cm="1">
        <f t="array" ref="V26">INDEX(Risk!$C$4:$F$8,Attacker_Threat_Zone[[#This Row],[Likelihood]],VLOOKUP(Attacker_Threat_Zone[[#This Row],[Impact
I]],Impact_Mapping[],2,FALSE))</f>
        <v>#VALUE!</v>
      </c>
      <c r="W26" s="111" t="e" cm="1">
        <f t="array" ref="W26">INDEX(Risk!$C$4:$F$8,Attacker_Threat_Zone[[#This Row],[Likelihood]],VLOOKUP(Attacker_Threat_Zone[[#This Row],[Impact
A]],Impact_Mapping[],2,FALSE))</f>
        <v>#VALUE!</v>
      </c>
      <c r="X26" s="152" t="str" cm="1">
        <f t="array" ref="X2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6" s="193"/>
      <c r="Z26" s="110" t="e">
        <f>IF(Attacker_Threat_Zone[[#This Row],[Relevance]]="No"," ",MAX(VLOOKUP(Attacker_Threat_Zone[[#This Row],[Risk
C]],SL_Mapping[],2,FALSE),0))</f>
        <v>#VALUE!</v>
      </c>
      <c r="AA26" s="110" t="e">
        <f>IF(Attacker_Threat_Zone[[#This Row],[Relevance]]="No"," ",MAX(VLOOKUP(Attacker_Threat_Zone[[#This Row],[Risk
I]],SL_Mapping[],2,FALSE),0))</f>
        <v>#VALUE!</v>
      </c>
      <c r="AB26" s="110" t="e">
        <f>IF(Attacker_Threat_Zone[[#This Row],[Relevance]]="No"," ",MAX(VLOOKUP(Attacker_Threat_Zone[[#This Row],[Risk
A]],SL_Mapping[],2,FALSE),0))</f>
        <v>#VALUE!</v>
      </c>
      <c r="AC26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6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6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6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6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6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6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7" spans="1:35">
      <c r="A27" s="35" t="s">
        <v>110</v>
      </c>
      <c r="B27" s="163" t="s">
        <v>95</v>
      </c>
      <c r="C27" s="163" t="s">
        <v>95</v>
      </c>
      <c r="D27" s="163" t="s">
        <v>93</v>
      </c>
      <c r="E27" s="163" t="s">
        <v>81</v>
      </c>
      <c r="F27" s="163" t="s">
        <v>95</v>
      </c>
      <c r="G27" s="163" t="s">
        <v>96</v>
      </c>
      <c r="H27" s="163" t="s">
        <v>82</v>
      </c>
      <c r="I27" s="164"/>
      <c r="J27" s="196"/>
      <c r="K27" s="165"/>
      <c r="L27" s="165"/>
      <c r="M27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7" s="165"/>
      <c r="O27" s="165"/>
      <c r="P27" s="165"/>
      <c r="Q27" s="133">
        <f>IFERROR(VLOOKUP(Attacker_Threat_Zone[[#This Row],[Impact
C]],Impact_Mapping[],2,FALSE),0)</f>
        <v>0</v>
      </c>
      <c r="R27" s="133">
        <f>IFERROR(VLOOKUP(Attacker_Threat_Zone[[#This Row],[Impact
I]],Impact_Mapping[],2,FALSE),0)</f>
        <v>0</v>
      </c>
      <c r="S27" s="133">
        <f>IFERROR(VLOOKUP(Attacker_Threat_Zone[[#This Row],[Impact
A]],Impact_Mapping[],2,FALSE),0)</f>
        <v>0</v>
      </c>
      <c r="T2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7" s="111" t="e" cm="1">
        <f t="array" ref="U27">INDEX(Risk!$C$4:$F$8,Attacker_Threat_Zone[[#This Row],[Likelihood]],VLOOKUP(Attacker_Threat_Zone[[#This Row],[Impact
C]],Impact_Mapping[],2,FALSE))</f>
        <v>#VALUE!</v>
      </c>
      <c r="V27" s="111" t="e" cm="1">
        <f t="array" ref="V27">INDEX(Risk!$C$4:$F$8,Attacker_Threat_Zone[[#This Row],[Likelihood]],VLOOKUP(Attacker_Threat_Zone[[#This Row],[Impact
I]],Impact_Mapping[],2,FALSE))</f>
        <v>#VALUE!</v>
      </c>
      <c r="W27" s="111" t="e" cm="1">
        <f t="array" ref="W27">INDEX(Risk!$C$4:$F$8,Attacker_Threat_Zone[[#This Row],[Likelihood]],VLOOKUP(Attacker_Threat_Zone[[#This Row],[Impact
A]],Impact_Mapping[],2,FALSE))</f>
        <v>#VALUE!</v>
      </c>
      <c r="X27" s="152" t="str" cm="1">
        <f t="array" ref="X2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7" s="193"/>
      <c r="Z27" s="110" t="e">
        <f>IF(Attacker_Threat_Zone[[#This Row],[Relevance]]="No"," ",MAX(VLOOKUP(Attacker_Threat_Zone[[#This Row],[Risk
C]],SL_Mapping[],2,FALSE),0))</f>
        <v>#VALUE!</v>
      </c>
      <c r="AA27" s="110" t="e">
        <f>IF(Attacker_Threat_Zone[[#This Row],[Relevance]]="No"," ",MAX(VLOOKUP(Attacker_Threat_Zone[[#This Row],[Risk
I]],SL_Mapping[],2,FALSE),0))</f>
        <v>#VALUE!</v>
      </c>
      <c r="AB27" s="110" t="e">
        <f>IF(Attacker_Threat_Zone[[#This Row],[Relevance]]="No"," ",MAX(VLOOKUP(Attacker_Threat_Zone[[#This Row],[Risk
A]],SL_Mapping[],2,FALSE),0))</f>
        <v>#VALUE!</v>
      </c>
      <c r="AC2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8" spans="1:35">
      <c r="A28" s="35" t="s">
        <v>111</v>
      </c>
      <c r="B28" s="163" t="s">
        <v>95</v>
      </c>
      <c r="C28" s="163" t="s">
        <v>95</v>
      </c>
      <c r="D28" s="163" t="s">
        <v>93</v>
      </c>
      <c r="E28" s="163" t="s">
        <v>81</v>
      </c>
      <c r="F28" s="163" t="s">
        <v>95</v>
      </c>
      <c r="G28" s="163" t="s">
        <v>96</v>
      </c>
      <c r="H28" s="163" t="s">
        <v>82</v>
      </c>
      <c r="I28" s="164"/>
      <c r="J28" s="196"/>
      <c r="K28" s="165"/>
      <c r="L28" s="165"/>
      <c r="M2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8" s="165"/>
      <c r="O28" s="165"/>
      <c r="P28" s="165"/>
      <c r="Q28" s="133">
        <f>IFERROR(VLOOKUP(Attacker_Threat_Zone[[#This Row],[Impact
C]],Impact_Mapping[],2,FALSE),0)</f>
        <v>0</v>
      </c>
      <c r="R28" s="133">
        <f>IFERROR(VLOOKUP(Attacker_Threat_Zone[[#This Row],[Impact
I]],Impact_Mapping[],2,FALSE),0)</f>
        <v>0</v>
      </c>
      <c r="S28" s="133">
        <f>IFERROR(VLOOKUP(Attacker_Threat_Zone[[#This Row],[Impact
A]],Impact_Mapping[],2,FALSE),0)</f>
        <v>0</v>
      </c>
      <c r="T2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8" s="111" t="e" cm="1">
        <f t="array" ref="U28">INDEX(Risk!$C$4:$F$8,Attacker_Threat_Zone[[#This Row],[Likelihood]],VLOOKUP(Attacker_Threat_Zone[[#This Row],[Impact
C]],Impact_Mapping[],2,FALSE))</f>
        <v>#VALUE!</v>
      </c>
      <c r="V28" s="111" t="e" cm="1">
        <f t="array" ref="V28">INDEX(Risk!$C$4:$F$8,Attacker_Threat_Zone[[#This Row],[Likelihood]],VLOOKUP(Attacker_Threat_Zone[[#This Row],[Impact
I]],Impact_Mapping[],2,FALSE))</f>
        <v>#VALUE!</v>
      </c>
      <c r="W28" s="111" t="e" cm="1">
        <f t="array" ref="W28">INDEX(Risk!$C$4:$F$8,Attacker_Threat_Zone[[#This Row],[Likelihood]],VLOOKUP(Attacker_Threat_Zone[[#This Row],[Impact
A]],Impact_Mapping[],2,FALSE))</f>
        <v>#VALUE!</v>
      </c>
      <c r="X28" s="152" t="str" cm="1">
        <f t="array" ref="X2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8" s="193"/>
      <c r="Z28" s="110" t="e">
        <f>IF(Attacker_Threat_Zone[[#This Row],[Relevance]]="No"," ",MAX(VLOOKUP(Attacker_Threat_Zone[[#This Row],[Risk
C]],SL_Mapping[],2,FALSE),0))</f>
        <v>#VALUE!</v>
      </c>
      <c r="AA28" s="110" t="e">
        <f>IF(Attacker_Threat_Zone[[#This Row],[Relevance]]="No"," ",MAX(VLOOKUP(Attacker_Threat_Zone[[#This Row],[Risk
I]],SL_Mapping[],2,FALSE),0))</f>
        <v>#VALUE!</v>
      </c>
      <c r="AB28" s="110" t="e">
        <f>IF(Attacker_Threat_Zone[[#This Row],[Relevance]]="No"," ",MAX(VLOOKUP(Attacker_Threat_Zone[[#This Row],[Risk
A]],SL_Mapping[],2,FALSE),0))</f>
        <v>#VALUE!</v>
      </c>
      <c r="AC2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29" spans="1:35">
      <c r="A29" s="35" t="s">
        <v>112</v>
      </c>
      <c r="B29" s="163" t="s">
        <v>95</v>
      </c>
      <c r="C29" s="163" t="s">
        <v>95</v>
      </c>
      <c r="D29" s="163" t="s">
        <v>93</v>
      </c>
      <c r="E29" s="163" t="s">
        <v>81</v>
      </c>
      <c r="F29" s="163" t="s">
        <v>95</v>
      </c>
      <c r="G29" s="163" t="s">
        <v>96</v>
      </c>
      <c r="H29" s="163" t="s">
        <v>82</v>
      </c>
      <c r="I29" s="164"/>
      <c r="J29" s="196"/>
      <c r="K29" s="165"/>
      <c r="L29" s="165"/>
      <c r="M29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29" s="165"/>
      <c r="O29" s="165"/>
      <c r="P29" s="165"/>
      <c r="Q29" s="133">
        <f>IFERROR(VLOOKUP(Attacker_Threat_Zone[[#This Row],[Impact
C]],Impact_Mapping[],2,FALSE),0)</f>
        <v>0</v>
      </c>
      <c r="R29" s="133">
        <f>IFERROR(VLOOKUP(Attacker_Threat_Zone[[#This Row],[Impact
I]],Impact_Mapping[],2,FALSE),0)</f>
        <v>0</v>
      </c>
      <c r="S29" s="133">
        <f>IFERROR(VLOOKUP(Attacker_Threat_Zone[[#This Row],[Impact
A]],Impact_Mapping[],2,FALSE),0)</f>
        <v>0</v>
      </c>
      <c r="T2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29" s="111" t="e" cm="1">
        <f t="array" ref="U29">INDEX(Risk!$C$4:$F$8,Attacker_Threat_Zone[[#This Row],[Likelihood]],VLOOKUP(Attacker_Threat_Zone[[#This Row],[Impact
C]],Impact_Mapping[],2,FALSE))</f>
        <v>#VALUE!</v>
      </c>
      <c r="V29" s="111" t="e" cm="1">
        <f t="array" ref="V29">INDEX(Risk!$C$4:$F$8,Attacker_Threat_Zone[[#This Row],[Likelihood]],VLOOKUP(Attacker_Threat_Zone[[#This Row],[Impact
I]],Impact_Mapping[],2,FALSE))</f>
        <v>#VALUE!</v>
      </c>
      <c r="W29" s="111" t="e" cm="1">
        <f t="array" ref="W29">INDEX(Risk!$C$4:$F$8,Attacker_Threat_Zone[[#This Row],[Likelihood]],VLOOKUP(Attacker_Threat_Zone[[#This Row],[Impact
A]],Impact_Mapping[],2,FALSE))</f>
        <v>#VALUE!</v>
      </c>
      <c r="X29" s="152" t="str" cm="1">
        <f t="array" ref="X2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29" s="193"/>
      <c r="Z29" s="110" t="e">
        <f>IF(Attacker_Threat_Zone[[#This Row],[Relevance]]="No"," ",MAX(VLOOKUP(Attacker_Threat_Zone[[#This Row],[Risk
C]],SL_Mapping[],2,FALSE),0))</f>
        <v>#VALUE!</v>
      </c>
      <c r="AA29" s="110" t="e">
        <f>IF(Attacker_Threat_Zone[[#This Row],[Relevance]]="No"," ",MAX(VLOOKUP(Attacker_Threat_Zone[[#This Row],[Risk
I]],SL_Mapping[],2,FALSE),0))</f>
        <v>#VALUE!</v>
      </c>
      <c r="AB29" s="110" t="e">
        <f>IF(Attacker_Threat_Zone[[#This Row],[Relevance]]="No"," ",MAX(VLOOKUP(Attacker_Threat_Zone[[#This Row],[Risk
A]],SL_Mapping[],2,FALSE),0))</f>
        <v>#VALUE!</v>
      </c>
      <c r="AC2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2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2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2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2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2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2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0" spans="1:35">
      <c r="A30" s="35" t="s">
        <v>113</v>
      </c>
      <c r="B30" s="163" t="s">
        <v>82</v>
      </c>
      <c r="C30" s="163" t="s">
        <v>82</v>
      </c>
      <c r="D30" s="163" t="s">
        <v>9</v>
      </c>
      <c r="E30" s="163" t="s">
        <v>9</v>
      </c>
      <c r="F30" s="163" t="s">
        <v>9</v>
      </c>
      <c r="G30" s="163" t="s">
        <v>82</v>
      </c>
      <c r="H30" s="163" t="s">
        <v>82</v>
      </c>
      <c r="I30" s="164"/>
      <c r="J30" s="196"/>
      <c r="K30" s="165"/>
      <c r="L30" s="165"/>
      <c r="M3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0" s="165"/>
      <c r="O30" s="165"/>
      <c r="P30" s="165"/>
      <c r="Q30" s="133">
        <f>IFERROR(VLOOKUP(Attacker_Threat_Zone[[#This Row],[Impact
C]],Impact_Mapping[],2,FALSE),0)</f>
        <v>0</v>
      </c>
      <c r="R30" s="133">
        <f>IFERROR(VLOOKUP(Attacker_Threat_Zone[[#This Row],[Impact
I]],Impact_Mapping[],2,FALSE),0)</f>
        <v>0</v>
      </c>
      <c r="S30" s="133">
        <f>IFERROR(VLOOKUP(Attacker_Threat_Zone[[#This Row],[Impact
A]],Impact_Mapping[],2,FALSE),0)</f>
        <v>0</v>
      </c>
      <c r="T3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0" s="111" t="e" cm="1">
        <f t="array" ref="U30">INDEX(Risk!$C$4:$F$8,Attacker_Threat_Zone[[#This Row],[Likelihood]],VLOOKUP(Attacker_Threat_Zone[[#This Row],[Impact
C]],Impact_Mapping[],2,FALSE))</f>
        <v>#VALUE!</v>
      </c>
      <c r="V30" s="111" t="e" cm="1">
        <f t="array" ref="V30">INDEX(Risk!$C$4:$F$8,Attacker_Threat_Zone[[#This Row],[Likelihood]],VLOOKUP(Attacker_Threat_Zone[[#This Row],[Impact
I]],Impact_Mapping[],2,FALSE))</f>
        <v>#VALUE!</v>
      </c>
      <c r="W30" s="111" t="e" cm="1">
        <f t="array" ref="W30">INDEX(Risk!$C$4:$F$8,Attacker_Threat_Zone[[#This Row],[Likelihood]],VLOOKUP(Attacker_Threat_Zone[[#This Row],[Impact
A]],Impact_Mapping[],2,FALSE))</f>
        <v>#VALUE!</v>
      </c>
      <c r="X30" s="152" t="str" cm="1">
        <f t="array" ref="X3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0" s="193"/>
      <c r="Z30" s="110" t="e">
        <f>IF(Attacker_Threat_Zone[[#This Row],[Relevance]]="No"," ",MAX(VLOOKUP(Attacker_Threat_Zone[[#This Row],[Risk
C]],SL_Mapping[],2,FALSE),0))</f>
        <v>#VALUE!</v>
      </c>
      <c r="AA30" s="110" t="e">
        <f>IF(Attacker_Threat_Zone[[#This Row],[Relevance]]="No"," ",MAX(VLOOKUP(Attacker_Threat_Zone[[#This Row],[Risk
I]],SL_Mapping[],2,FALSE),0))</f>
        <v>#VALUE!</v>
      </c>
      <c r="AB30" s="110" t="e">
        <f>IF(Attacker_Threat_Zone[[#This Row],[Relevance]]="No"," ",MAX(VLOOKUP(Attacker_Threat_Zone[[#This Row],[Risk
A]],SL_Mapping[],2,FALSE),0))</f>
        <v>#VALUE!</v>
      </c>
      <c r="AC3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1" spans="1:35">
      <c r="A31" s="35" t="s">
        <v>114</v>
      </c>
      <c r="B31" s="163" t="s">
        <v>96</v>
      </c>
      <c r="C31" s="163" t="s">
        <v>96</v>
      </c>
      <c r="D31" s="163" t="s">
        <v>93</v>
      </c>
      <c r="E31" s="163" t="s">
        <v>9</v>
      </c>
      <c r="F31" s="163" t="s">
        <v>96</v>
      </c>
      <c r="G31" s="163" t="s">
        <v>96</v>
      </c>
      <c r="H31" s="163" t="s">
        <v>82</v>
      </c>
      <c r="I31" s="164"/>
      <c r="J31" s="196"/>
      <c r="K31" s="165"/>
      <c r="L31" s="165"/>
      <c r="M3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1" s="165"/>
      <c r="O31" s="165"/>
      <c r="P31" s="165"/>
      <c r="Q31" s="133">
        <f>IFERROR(VLOOKUP(Attacker_Threat_Zone[[#This Row],[Impact
C]],Impact_Mapping[],2,FALSE),0)</f>
        <v>0</v>
      </c>
      <c r="R31" s="133">
        <f>IFERROR(VLOOKUP(Attacker_Threat_Zone[[#This Row],[Impact
I]],Impact_Mapping[],2,FALSE),0)</f>
        <v>0</v>
      </c>
      <c r="S31" s="133">
        <f>IFERROR(VLOOKUP(Attacker_Threat_Zone[[#This Row],[Impact
A]],Impact_Mapping[],2,FALSE),0)</f>
        <v>0</v>
      </c>
      <c r="T3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1" s="111" t="e" cm="1">
        <f t="array" ref="U31">INDEX(Risk!$C$4:$F$8,Attacker_Threat_Zone[[#This Row],[Likelihood]],VLOOKUP(Attacker_Threat_Zone[[#This Row],[Impact
C]],Impact_Mapping[],2,FALSE))</f>
        <v>#VALUE!</v>
      </c>
      <c r="V31" s="111" t="e" cm="1">
        <f t="array" ref="V31">INDEX(Risk!$C$4:$F$8,Attacker_Threat_Zone[[#This Row],[Likelihood]],VLOOKUP(Attacker_Threat_Zone[[#This Row],[Impact
I]],Impact_Mapping[],2,FALSE))</f>
        <v>#VALUE!</v>
      </c>
      <c r="W31" s="111" t="e" cm="1">
        <f t="array" ref="W31">INDEX(Risk!$C$4:$F$8,Attacker_Threat_Zone[[#This Row],[Likelihood]],VLOOKUP(Attacker_Threat_Zone[[#This Row],[Impact
A]],Impact_Mapping[],2,FALSE))</f>
        <v>#VALUE!</v>
      </c>
      <c r="X31" s="152" t="str" cm="1">
        <f t="array" ref="X3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1" s="193"/>
      <c r="Z31" s="110" t="e">
        <f>IF(Attacker_Threat_Zone[[#This Row],[Relevance]]="No"," ",MAX(VLOOKUP(Attacker_Threat_Zone[[#This Row],[Risk
C]],SL_Mapping[],2,FALSE),0))</f>
        <v>#VALUE!</v>
      </c>
      <c r="AA31" s="110" t="e">
        <f>IF(Attacker_Threat_Zone[[#This Row],[Relevance]]="No"," ",MAX(VLOOKUP(Attacker_Threat_Zone[[#This Row],[Risk
I]],SL_Mapping[],2,FALSE),0))</f>
        <v>#VALUE!</v>
      </c>
      <c r="AB31" s="110" t="e">
        <f>IF(Attacker_Threat_Zone[[#This Row],[Relevance]]="No"," ",MAX(VLOOKUP(Attacker_Threat_Zone[[#This Row],[Risk
A]],SL_Mapping[],2,FALSE),0))</f>
        <v>#VALUE!</v>
      </c>
      <c r="AC31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1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1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1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1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1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1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2" spans="1:35">
      <c r="A32" s="35" t="s">
        <v>115</v>
      </c>
      <c r="B32" s="163" t="s">
        <v>95</v>
      </c>
      <c r="C32" s="163" t="s">
        <v>95</v>
      </c>
      <c r="D32" s="163" t="s">
        <v>93</v>
      </c>
      <c r="E32" s="163" t="s">
        <v>81</v>
      </c>
      <c r="F32" s="163" t="s">
        <v>95</v>
      </c>
      <c r="G32" s="163" t="s">
        <v>96</v>
      </c>
      <c r="H32" s="163" t="s">
        <v>82</v>
      </c>
      <c r="I32" s="164"/>
      <c r="J32" s="196"/>
      <c r="K32" s="165"/>
      <c r="L32" s="165"/>
      <c r="M3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2" s="165"/>
      <c r="O32" s="165"/>
      <c r="P32" s="165"/>
      <c r="Q32" s="133">
        <f>IFERROR(VLOOKUP(Attacker_Threat_Zone[[#This Row],[Impact
C]],Impact_Mapping[],2,FALSE),0)</f>
        <v>0</v>
      </c>
      <c r="R32" s="133">
        <f>IFERROR(VLOOKUP(Attacker_Threat_Zone[[#This Row],[Impact
I]],Impact_Mapping[],2,FALSE),0)</f>
        <v>0</v>
      </c>
      <c r="S32" s="133">
        <f>IFERROR(VLOOKUP(Attacker_Threat_Zone[[#This Row],[Impact
A]],Impact_Mapping[],2,FALSE),0)</f>
        <v>0</v>
      </c>
      <c r="T3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2" s="111" t="e" cm="1">
        <f t="array" ref="U32">INDEX(Risk!$C$4:$F$8,Attacker_Threat_Zone[[#This Row],[Likelihood]],VLOOKUP(Attacker_Threat_Zone[[#This Row],[Impact
C]],Impact_Mapping[],2,FALSE))</f>
        <v>#VALUE!</v>
      </c>
      <c r="V32" s="111" t="e" cm="1">
        <f t="array" ref="V32">INDEX(Risk!$C$4:$F$8,Attacker_Threat_Zone[[#This Row],[Likelihood]],VLOOKUP(Attacker_Threat_Zone[[#This Row],[Impact
I]],Impact_Mapping[],2,FALSE))</f>
        <v>#VALUE!</v>
      </c>
      <c r="W32" s="111" t="e" cm="1">
        <f t="array" ref="W32">INDEX(Risk!$C$4:$F$8,Attacker_Threat_Zone[[#This Row],[Likelihood]],VLOOKUP(Attacker_Threat_Zone[[#This Row],[Impact
A]],Impact_Mapping[],2,FALSE))</f>
        <v>#VALUE!</v>
      </c>
      <c r="X32" s="152" t="str" cm="1">
        <f t="array" ref="X3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2" s="193"/>
      <c r="Z32" s="110" t="e">
        <f>IF(Attacker_Threat_Zone[[#This Row],[Relevance]]="No"," ",MAX(VLOOKUP(Attacker_Threat_Zone[[#This Row],[Risk
C]],SL_Mapping[],2,FALSE),0))</f>
        <v>#VALUE!</v>
      </c>
      <c r="AA32" s="110" t="e">
        <f>IF(Attacker_Threat_Zone[[#This Row],[Relevance]]="No"," ",MAX(VLOOKUP(Attacker_Threat_Zone[[#This Row],[Risk
I]],SL_Mapping[],2,FALSE),0))</f>
        <v>#VALUE!</v>
      </c>
      <c r="AB32" s="110" t="e">
        <f>IF(Attacker_Threat_Zone[[#This Row],[Relevance]]="No"," ",MAX(VLOOKUP(Attacker_Threat_Zone[[#This Row],[Risk
A]],SL_Mapping[],2,FALSE),0))</f>
        <v>#VALUE!</v>
      </c>
      <c r="AC3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3" spans="1:35">
      <c r="A33" s="35" t="s">
        <v>116</v>
      </c>
      <c r="B33" s="163" t="s">
        <v>9</v>
      </c>
      <c r="C33" s="163" t="s">
        <v>9</v>
      </c>
      <c r="D33" s="163" t="s">
        <v>9</v>
      </c>
      <c r="E33" s="163" t="s">
        <v>9</v>
      </c>
      <c r="F33" s="163" t="s">
        <v>9</v>
      </c>
      <c r="G33" s="163" t="s">
        <v>9</v>
      </c>
      <c r="H33" s="163" t="s">
        <v>9</v>
      </c>
      <c r="I33" s="164"/>
      <c r="J33" s="196"/>
      <c r="K33" s="165"/>
      <c r="L33" s="165"/>
      <c r="M3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3" s="165"/>
      <c r="O33" s="165"/>
      <c r="P33" s="165"/>
      <c r="Q33" s="133">
        <f>IFERROR(VLOOKUP(Attacker_Threat_Zone[[#This Row],[Impact
C]],Impact_Mapping[],2,FALSE),0)</f>
        <v>0</v>
      </c>
      <c r="R33" s="133">
        <f>IFERROR(VLOOKUP(Attacker_Threat_Zone[[#This Row],[Impact
I]],Impact_Mapping[],2,FALSE),0)</f>
        <v>0</v>
      </c>
      <c r="S33" s="133">
        <f>IFERROR(VLOOKUP(Attacker_Threat_Zone[[#This Row],[Impact
A]],Impact_Mapping[],2,FALSE),0)</f>
        <v>0</v>
      </c>
      <c r="T3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3" s="111" t="e" cm="1">
        <f t="array" ref="U33">INDEX(Risk!$C$4:$F$8,Attacker_Threat_Zone[[#This Row],[Likelihood]],VLOOKUP(Attacker_Threat_Zone[[#This Row],[Impact
C]],Impact_Mapping[],2,FALSE))</f>
        <v>#VALUE!</v>
      </c>
      <c r="V33" s="111" t="e" cm="1">
        <f t="array" ref="V33">INDEX(Risk!$C$4:$F$8,Attacker_Threat_Zone[[#This Row],[Likelihood]],VLOOKUP(Attacker_Threat_Zone[[#This Row],[Impact
I]],Impact_Mapping[],2,FALSE))</f>
        <v>#VALUE!</v>
      </c>
      <c r="W33" s="111" t="e" cm="1">
        <f t="array" ref="W33">INDEX(Risk!$C$4:$F$8,Attacker_Threat_Zone[[#This Row],[Likelihood]],VLOOKUP(Attacker_Threat_Zone[[#This Row],[Impact
A]],Impact_Mapping[],2,FALSE))</f>
        <v>#VALUE!</v>
      </c>
      <c r="X33" s="152" t="str" cm="1">
        <f t="array" ref="X3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3" s="193"/>
      <c r="Z33" s="110" t="e">
        <f>IF(Attacker_Threat_Zone[[#This Row],[Relevance]]="No"," ",MAX(VLOOKUP(Attacker_Threat_Zone[[#This Row],[Risk
C]],SL_Mapping[],2,FALSE),0))</f>
        <v>#VALUE!</v>
      </c>
      <c r="AA33" s="110" t="e">
        <f>IF(Attacker_Threat_Zone[[#This Row],[Relevance]]="No"," ",MAX(VLOOKUP(Attacker_Threat_Zone[[#This Row],[Risk
I]],SL_Mapping[],2,FALSE),0))</f>
        <v>#VALUE!</v>
      </c>
      <c r="AB33" s="110" t="e">
        <f>IF(Attacker_Threat_Zone[[#This Row],[Relevance]]="No"," ",MAX(VLOOKUP(Attacker_Threat_Zone[[#This Row],[Risk
A]],SL_Mapping[],2,FALSE),0))</f>
        <v>#VALUE!</v>
      </c>
      <c r="AC3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4" spans="1:35">
      <c r="A34" s="35" t="s">
        <v>117</v>
      </c>
      <c r="B34" s="163" t="s">
        <v>9</v>
      </c>
      <c r="C34" s="163" t="s">
        <v>9</v>
      </c>
      <c r="D34" s="163" t="s">
        <v>9</v>
      </c>
      <c r="E34" s="163" t="s">
        <v>9</v>
      </c>
      <c r="F34" s="163" t="s">
        <v>9</v>
      </c>
      <c r="G34" s="163" t="s">
        <v>9</v>
      </c>
      <c r="H34" s="163" t="s">
        <v>9</v>
      </c>
      <c r="I34" s="164"/>
      <c r="J34" s="196"/>
      <c r="K34" s="165"/>
      <c r="L34" s="165"/>
      <c r="M3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4" s="165"/>
      <c r="O34" s="165"/>
      <c r="P34" s="165"/>
      <c r="Q34" s="133">
        <f>IFERROR(VLOOKUP(Attacker_Threat_Zone[[#This Row],[Impact
C]],Impact_Mapping[],2,FALSE),0)</f>
        <v>0</v>
      </c>
      <c r="R34" s="133">
        <f>IFERROR(VLOOKUP(Attacker_Threat_Zone[[#This Row],[Impact
I]],Impact_Mapping[],2,FALSE),0)</f>
        <v>0</v>
      </c>
      <c r="S34" s="133">
        <f>IFERROR(VLOOKUP(Attacker_Threat_Zone[[#This Row],[Impact
A]],Impact_Mapping[],2,FALSE),0)</f>
        <v>0</v>
      </c>
      <c r="T3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4" s="111" t="e" cm="1">
        <f t="array" ref="U34">INDEX(Risk!$C$4:$F$8,Attacker_Threat_Zone[[#This Row],[Likelihood]],VLOOKUP(Attacker_Threat_Zone[[#This Row],[Impact
C]],Impact_Mapping[],2,FALSE))</f>
        <v>#VALUE!</v>
      </c>
      <c r="V34" s="111" t="e" cm="1">
        <f t="array" ref="V34">INDEX(Risk!$C$4:$F$8,Attacker_Threat_Zone[[#This Row],[Likelihood]],VLOOKUP(Attacker_Threat_Zone[[#This Row],[Impact
I]],Impact_Mapping[],2,FALSE))</f>
        <v>#VALUE!</v>
      </c>
      <c r="W34" s="111" t="e" cm="1">
        <f t="array" ref="W34">INDEX(Risk!$C$4:$F$8,Attacker_Threat_Zone[[#This Row],[Likelihood]],VLOOKUP(Attacker_Threat_Zone[[#This Row],[Impact
A]],Impact_Mapping[],2,FALSE))</f>
        <v>#VALUE!</v>
      </c>
      <c r="X34" s="152" t="str" cm="1">
        <f t="array" ref="X3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4" s="193"/>
      <c r="Z34" s="110" t="e">
        <f>IF(Attacker_Threat_Zone[[#This Row],[Relevance]]="No"," ",MAX(VLOOKUP(Attacker_Threat_Zone[[#This Row],[Risk
C]],SL_Mapping[],2,FALSE),0))</f>
        <v>#VALUE!</v>
      </c>
      <c r="AA34" s="110" t="e">
        <f>IF(Attacker_Threat_Zone[[#This Row],[Relevance]]="No"," ",MAX(VLOOKUP(Attacker_Threat_Zone[[#This Row],[Risk
I]],SL_Mapping[],2,FALSE),0))</f>
        <v>#VALUE!</v>
      </c>
      <c r="AB34" s="110" t="e">
        <f>IF(Attacker_Threat_Zone[[#This Row],[Relevance]]="No"," ",MAX(VLOOKUP(Attacker_Threat_Zone[[#This Row],[Risk
A]],SL_Mapping[],2,FALSE),0))</f>
        <v>#VALUE!</v>
      </c>
      <c r="AC34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4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4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4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4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4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4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5" spans="1:35">
      <c r="A35" s="35" t="s">
        <v>118</v>
      </c>
      <c r="B35" s="163" t="s">
        <v>95</v>
      </c>
      <c r="C35" s="163" t="s">
        <v>95</v>
      </c>
      <c r="D35" s="163" t="s">
        <v>93</v>
      </c>
      <c r="E35" s="163" t="s">
        <v>81</v>
      </c>
      <c r="F35" s="163" t="s">
        <v>95</v>
      </c>
      <c r="G35" s="163" t="s">
        <v>96</v>
      </c>
      <c r="H35" s="163" t="s">
        <v>82</v>
      </c>
      <c r="I35" s="164"/>
      <c r="J35" s="196"/>
      <c r="K35" s="165"/>
      <c r="L35" s="165"/>
      <c r="M35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5" s="165"/>
      <c r="O35" s="165"/>
      <c r="P35" s="165"/>
      <c r="Q35" s="133">
        <f>IFERROR(VLOOKUP(Attacker_Threat_Zone[[#This Row],[Impact
C]],Impact_Mapping[],2,FALSE),0)</f>
        <v>0</v>
      </c>
      <c r="R35" s="133">
        <f>IFERROR(VLOOKUP(Attacker_Threat_Zone[[#This Row],[Impact
I]],Impact_Mapping[],2,FALSE),0)</f>
        <v>0</v>
      </c>
      <c r="S35" s="133">
        <f>IFERROR(VLOOKUP(Attacker_Threat_Zone[[#This Row],[Impact
A]],Impact_Mapping[],2,FALSE),0)</f>
        <v>0</v>
      </c>
      <c r="T35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5" s="111" t="e" cm="1">
        <f t="array" ref="U35">INDEX(Risk!$C$4:$F$8,Attacker_Threat_Zone[[#This Row],[Likelihood]],VLOOKUP(Attacker_Threat_Zone[[#This Row],[Impact
C]],Impact_Mapping[],2,FALSE))</f>
        <v>#VALUE!</v>
      </c>
      <c r="V35" s="111" t="e" cm="1">
        <f t="array" ref="V35">INDEX(Risk!$C$4:$F$8,Attacker_Threat_Zone[[#This Row],[Likelihood]],VLOOKUP(Attacker_Threat_Zone[[#This Row],[Impact
I]],Impact_Mapping[],2,FALSE))</f>
        <v>#VALUE!</v>
      </c>
      <c r="W35" s="111" t="e" cm="1">
        <f t="array" ref="W35">INDEX(Risk!$C$4:$F$8,Attacker_Threat_Zone[[#This Row],[Likelihood]],VLOOKUP(Attacker_Threat_Zone[[#This Row],[Impact
A]],Impact_Mapping[],2,FALSE))</f>
        <v>#VALUE!</v>
      </c>
      <c r="X35" s="152" t="str" cm="1">
        <f t="array" ref="X35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5" s="193"/>
      <c r="Z35" s="110" t="e">
        <f>IF(Attacker_Threat_Zone[[#This Row],[Relevance]]="No"," ",MAX(VLOOKUP(Attacker_Threat_Zone[[#This Row],[Risk
C]],SL_Mapping[],2,FALSE),0))</f>
        <v>#VALUE!</v>
      </c>
      <c r="AA35" s="110" t="e">
        <f>IF(Attacker_Threat_Zone[[#This Row],[Relevance]]="No"," ",MAX(VLOOKUP(Attacker_Threat_Zone[[#This Row],[Risk
I]],SL_Mapping[],2,FALSE),0))</f>
        <v>#VALUE!</v>
      </c>
      <c r="AB35" s="110" t="e">
        <f>IF(Attacker_Threat_Zone[[#This Row],[Relevance]]="No"," ",MAX(VLOOKUP(Attacker_Threat_Zone[[#This Row],[Risk
A]],SL_Mapping[],2,FALSE),0))</f>
        <v>#VALUE!</v>
      </c>
      <c r="AC35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5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5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5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5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5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5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6" spans="1:35">
      <c r="A36" s="35" t="s">
        <v>575</v>
      </c>
      <c r="B36" s="163" t="s">
        <v>9</v>
      </c>
      <c r="C36" s="163" t="s">
        <v>9</v>
      </c>
      <c r="D36" s="163" t="s">
        <v>9</v>
      </c>
      <c r="E36" s="163" t="s">
        <v>9</v>
      </c>
      <c r="F36" s="163" t="s">
        <v>9</v>
      </c>
      <c r="G36" s="163" t="s">
        <v>9</v>
      </c>
      <c r="H36" s="163" t="s">
        <v>9</v>
      </c>
      <c r="I36" s="164"/>
      <c r="J36" s="196"/>
      <c r="K36" s="165"/>
      <c r="L36" s="165"/>
      <c r="M36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6" s="165"/>
      <c r="O36" s="165"/>
      <c r="P36" s="165"/>
      <c r="Q36" s="133">
        <f>IFERROR(VLOOKUP(Attacker_Threat_Zone[[#This Row],[Impact
C]],Impact_Mapping[],2,FALSE),0)</f>
        <v>0</v>
      </c>
      <c r="R36" s="133">
        <f>IFERROR(VLOOKUP(Attacker_Threat_Zone[[#This Row],[Impact
I]],Impact_Mapping[],2,FALSE),0)</f>
        <v>0</v>
      </c>
      <c r="S36" s="133">
        <f>IFERROR(VLOOKUP(Attacker_Threat_Zone[[#This Row],[Impact
A]],Impact_Mapping[],2,FALSE),0)</f>
        <v>0</v>
      </c>
      <c r="T3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6" s="111" t="e" cm="1">
        <f t="array" ref="U36">INDEX(Risk!$C$4:$F$8,Attacker_Threat_Zone[[#This Row],[Likelihood]],VLOOKUP(Attacker_Threat_Zone[[#This Row],[Impact
C]],Impact_Mapping[],2,FALSE))</f>
        <v>#VALUE!</v>
      </c>
      <c r="V36" s="111" t="e" cm="1">
        <f t="array" ref="V36">INDEX(Risk!$C$4:$F$8,Attacker_Threat_Zone[[#This Row],[Likelihood]],VLOOKUP(Attacker_Threat_Zone[[#This Row],[Impact
I]],Impact_Mapping[],2,FALSE))</f>
        <v>#VALUE!</v>
      </c>
      <c r="W36" s="111" t="e" cm="1">
        <f t="array" ref="W36">INDEX(Risk!$C$4:$F$8,Attacker_Threat_Zone[[#This Row],[Likelihood]],VLOOKUP(Attacker_Threat_Zone[[#This Row],[Impact
A]],Impact_Mapping[],2,FALSE))</f>
        <v>#VALUE!</v>
      </c>
      <c r="X36" s="152" t="str" cm="1">
        <f t="array" ref="X3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6" s="193"/>
      <c r="Z36" s="110" t="e">
        <f>IF(Attacker_Threat_Zone[[#This Row],[Relevance]]="No"," ",MAX(VLOOKUP(Attacker_Threat_Zone[[#This Row],[Risk
C]],SL_Mapping[],2,FALSE),0))</f>
        <v>#VALUE!</v>
      </c>
      <c r="AA36" s="110" t="e">
        <f>IF(Attacker_Threat_Zone[[#This Row],[Relevance]]="No"," ",MAX(VLOOKUP(Attacker_Threat_Zone[[#This Row],[Risk
I]],SL_Mapping[],2,FALSE),0))</f>
        <v>#VALUE!</v>
      </c>
      <c r="AB36" s="110" t="e">
        <f>IF(Attacker_Threat_Zone[[#This Row],[Relevance]]="No"," ",MAX(VLOOKUP(Attacker_Threat_Zone[[#This Row],[Risk
A]],SL_Mapping[],2,FALSE),0))</f>
        <v>#VALUE!</v>
      </c>
      <c r="AC36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6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6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6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6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6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6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7" spans="1:35">
      <c r="A37" s="35" t="s">
        <v>576</v>
      </c>
      <c r="B37" s="163" t="s">
        <v>95</v>
      </c>
      <c r="C37" s="163" t="s">
        <v>95</v>
      </c>
      <c r="D37" s="163" t="s">
        <v>93</v>
      </c>
      <c r="E37" s="163" t="s">
        <v>81</v>
      </c>
      <c r="F37" s="163" t="s">
        <v>95</v>
      </c>
      <c r="G37" s="163" t="s">
        <v>96</v>
      </c>
      <c r="H37" s="163" t="s">
        <v>82</v>
      </c>
      <c r="I37" s="164"/>
      <c r="J37" s="196"/>
      <c r="K37" s="165"/>
      <c r="L37" s="165"/>
      <c r="M37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7" s="165"/>
      <c r="O37" s="165"/>
      <c r="P37" s="165"/>
      <c r="Q37" s="133">
        <f>IFERROR(VLOOKUP(Attacker_Threat_Zone[[#This Row],[Impact
C]],Impact_Mapping[],2,FALSE),0)</f>
        <v>0</v>
      </c>
      <c r="R37" s="133">
        <f>IFERROR(VLOOKUP(Attacker_Threat_Zone[[#This Row],[Impact
I]],Impact_Mapping[],2,FALSE),0)</f>
        <v>0</v>
      </c>
      <c r="S37" s="133">
        <f>IFERROR(VLOOKUP(Attacker_Threat_Zone[[#This Row],[Impact
A]],Impact_Mapping[],2,FALSE),0)</f>
        <v>0</v>
      </c>
      <c r="T3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7" s="111" t="e" cm="1">
        <f t="array" ref="U37">INDEX(Risk!$C$4:$F$8,Attacker_Threat_Zone[[#This Row],[Likelihood]],VLOOKUP(Attacker_Threat_Zone[[#This Row],[Impact
C]],Impact_Mapping[],2,FALSE))</f>
        <v>#VALUE!</v>
      </c>
      <c r="V37" s="111" t="e" cm="1">
        <f t="array" ref="V37">INDEX(Risk!$C$4:$F$8,Attacker_Threat_Zone[[#This Row],[Likelihood]],VLOOKUP(Attacker_Threat_Zone[[#This Row],[Impact
I]],Impact_Mapping[],2,FALSE))</f>
        <v>#VALUE!</v>
      </c>
      <c r="W37" s="111" t="e" cm="1">
        <f t="array" ref="W37">INDEX(Risk!$C$4:$F$8,Attacker_Threat_Zone[[#This Row],[Likelihood]],VLOOKUP(Attacker_Threat_Zone[[#This Row],[Impact
A]],Impact_Mapping[],2,FALSE))</f>
        <v>#VALUE!</v>
      </c>
      <c r="X37" s="152" t="str" cm="1">
        <f t="array" ref="X3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7" s="193"/>
      <c r="Z37" s="110" t="e">
        <f>IF(Attacker_Threat_Zone[[#This Row],[Relevance]]="No"," ",MAX(VLOOKUP(Attacker_Threat_Zone[[#This Row],[Risk
C]],SL_Mapping[],2,FALSE),0))</f>
        <v>#VALUE!</v>
      </c>
      <c r="AA37" s="110" t="e">
        <f>IF(Attacker_Threat_Zone[[#This Row],[Relevance]]="No"," ",MAX(VLOOKUP(Attacker_Threat_Zone[[#This Row],[Risk
I]],SL_Mapping[],2,FALSE),0))</f>
        <v>#VALUE!</v>
      </c>
      <c r="AB37" s="110" t="e">
        <f>IF(Attacker_Threat_Zone[[#This Row],[Relevance]]="No"," ",MAX(VLOOKUP(Attacker_Threat_Zone[[#This Row],[Risk
A]],SL_Mapping[],2,FALSE),0))</f>
        <v>#VALUE!</v>
      </c>
      <c r="AC3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8" spans="1:35">
      <c r="A38" s="35" t="s">
        <v>119</v>
      </c>
      <c r="B38" s="163" t="s">
        <v>9</v>
      </c>
      <c r="C38" s="163" t="s">
        <v>9</v>
      </c>
      <c r="D38" s="163" t="s">
        <v>9</v>
      </c>
      <c r="E38" s="163" t="s">
        <v>9</v>
      </c>
      <c r="F38" s="163" t="s">
        <v>9</v>
      </c>
      <c r="G38" s="163" t="s">
        <v>96</v>
      </c>
      <c r="H38" s="163" t="s">
        <v>9</v>
      </c>
      <c r="I38" s="164"/>
      <c r="J38" s="196"/>
      <c r="K38" s="165"/>
      <c r="L38" s="165"/>
      <c r="M3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8" s="165"/>
      <c r="O38" s="165"/>
      <c r="P38" s="165"/>
      <c r="Q38" s="133">
        <f>IFERROR(VLOOKUP(Attacker_Threat_Zone[[#This Row],[Impact
C]],Impact_Mapping[],2,FALSE),0)</f>
        <v>0</v>
      </c>
      <c r="R38" s="133">
        <f>IFERROR(VLOOKUP(Attacker_Threat_Zone[[#This Row],[Impact
I]],Impact_Mapping[],2,FALSE),0)</f>
        <v>0</v>
      </c>
      <c r="S38" s="133">
        <f>IFERROR(VLOOKUP(Attacker_Threat_Zone[[#This Row],[Impact
A]],Impact_Mapping[],2,FALSE),0)</f>
        <v>0</v>
      </c>
      <c r="T3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8" s="111" t="e" cm="1">
        <f t="array" ref="U38">INDEX(Risk!$C$4:$F$8,Attacker_Threat_Zone[[#This Row],[Likelihood]],VLOOKUP(Attacker_Threat_Zone[[#This Row],[Impact
C]],Impact_Mapping[],2,FALSE))</f>
        <v>#VALUE!</v>
      </c>
      <c r="V38" s="111" t="e" cm="1">
        <f t="array" ref="V38">INDEX(Risk!$C$4:$F$8,Attacker_Threat_Zone[[#This Row],[Likelihood]],VLOOKUP(Attacker_Threat_Zone[[#This Row],[Impact
I]],Impact_Mapping[],2,FALSE))</f>
        <v>#VALUE!</v>
      </c>
      <c r="W38" s="111" t="e" cm="1">
        <f t="array" ref="W38">INDEX(Risk!$C$4:$F$8,Attacker_Threat_Zone[[#This Row],[Likelihood]],VLOOKUP(Attacker_Threat_Zone[[#This Row],[Impact
A]],Impact_Mapping[],2,FALSE))</f>
        <v>#VALUE!</v>
      </c>
      <c r="X38" s="152" t="str" cm="1">
        <f t="array" ref="X3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8" s="193"/>
      <c r="Z38" s="110" t="e">
        <f>IF(Attacker_Threat_Zone[[#This Row],[Relevance]]="No"," ",MAX(VLOOKUP(Attacker_Threat_Zone[[#This Row],[Risk
C]],SL_Mapping[],2,FALSE),0))</f>
        <v>#VALUE!</v>
      </c>
      <c r="AA38" s="110" t="e">
        <f>IF(Attacker_Threat_Zone[[#This Row],[Relevance]]="No"," ",MAX(VLOOKUP(Attacker_Threat_Zone[[#This Row],[Risk
I]],SL_Mapping[],2,FALSE),0))</f>
        <v>#VALUE!</v>
      </c>
      <c r="AB38" s="110" t="e">
        <f>IF(Attacker_Threat_Zone[[#This Row],[Relevance]]="No"," ",MAX(VLOOKUP(Attacker_Threat_Zone[[#This Row],[Risk
A]],SL_Mapping[],2,FALSE),0))</f>
        <v>#VALUE!</v>
      </c>
      <c r="AC3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39" spans="1:35">
      <c r="A39" s="35" t="s">
        <v>120</v>
      </c>
      <c r="B39" s="163" t="s">
        <v>9</v>
      </c>
      <c r="C39" s="163" t="s">
        <v>9</v>
      </c>
      <c r="D39" s="163" t="s">
        <v>9</v>
      </c>
      <c r="E39" s="163" t="s">
        <v>9</v>
      </c>
      <c r="F39" s="163" t="s">
        <v>9</v>
      </c>
      <c r="G39" s="163" t="s">
        <v>9</v>
      </c>
      <c r="H39" s="163" t="s">
        <v>9</v>
      </c>
      <c r="I39" s="164"/>
      <c r="J39" s="196"/>
      <c r="K39" s="165"/>
      <c r="L39" s="165"/>
      <c r="M39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39" s="165"/>
      <c r="O39" s="165"/>
      <c r="P39" s="165"/>
      <c r="Q39" s="133">
        <f>IFERROR(VLOOKUP(Attacker_Threat_Zone[[#This Row],[Impact
C]],Impact_Mapping[],2,FALSE),0)</f>
        <v>0</v>
      </c>
      <c r="R39" s="133">
        <f>IFERROR(VLOOKUP(Attacker_Threat_Zone[[#This Row],[Impact
I]],Impact_Mapping[],2,FALSE),0)</f>
        <v>0</v>
      </c>
      <c r="S39" s="133">
        <f>IFERROR(VLOOKUP(Attacker_Threat_Zone[[#This Row],[Impact
A]],Impact_Mapping[],2,FALSE),0)</f>
        <v>0</v>
      </c>
      <c r="T3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39" s="111" t="e" cm="1">
        <f t="array" ref="U39">INDEX(Risk!$C$4:$F$8,Attacker_Threat_Zone[[#This Row],[Likelihood]],VLOOKUP(Attacker_Threat_Zone[[#This Row],[Impact
C]],Impact_Mapping[],2,FALSE))</f>
        <v>#VALUE!</v>
      </c>
      <c r="V39" s="111" t="e" cm="1">
        <f t="array" ref="V39">INDEX(Risk!$C$4:$F$8,Attacker_Threat_Zone[[#This Row],[Likelihood]],VLOOKUP(Attacker_Threat_Zone[[#This Row],[Impact
I]],Impact_Mapping[],2,FALSE))</f>
        <v>#VALUE!</v>
      </c>
      <c r="W39" s="111" t="e" cm="1">
        <f t="array" ref="W39">INDEX(Risk!$C$4:$F$8,Attacker_Threat_Zone[[#This Row],[Likelihood]],VLOOKUP(Attacker_Threat_Zone[[#This Row],[Impact
A]],Impact_Mapping[],2,FALSE))</f>
        <v>#VALUE!</v>
      </c>
      <c r="X39" s="152" t="str" cm="1">
        <f t="array" ref="X3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39" s="193"/>
      <c r="Z39" s="110" t="e">
        <f>IF(Attacker_Threat_Zone[[#This Row],[Relevance]]="No"," ",MAX(VLOOKUP(Attacker_Threat_Zone[[#This Row],[Risk
C]],SL_Mapping[],2,FALSE),0))</f>
        <v>#VALUE!</v>
      </c>
      <c r="AA39" s="110" t="e">
        <f>IF(Attacker_Threat_Zone[[#This Row],[Relevance]]="No"," ",MAX(VLOOKUP(Attacker_Threat_Zone[[#This Row],[Risk
I]],SL_Mapping[],2,FALSE),0))</f>
        <v>#VALUE!</v>
      </c>
      <c r="AB39" s="110" t="e">
        <f>IF(Attacker_Threat_Zone[[#This Row],[Relevance]]="No"," ",MAX(VLOOKUP(Attacker_Threat_Zone[[#This Row],[Risk
A]],SL_Mapping[],2,FALSE),0))</f>
        <v>#VALUE!</v>
      </c>
      <c r="AC3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3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3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3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3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3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3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0" spans="1:35">
      <c r="A40" s="35" t="s">
        <v>121</v>
      </c>
      <c r="B40" s="163" t="s">
        <v>9</v>
      </c>
      <c r="C40" s="163" t="s">
        <v>9</v>
      </c>
      <c r="D40" s="163" t="s">
        <v>9</v>
      </c>
      <c r="E40" s="163" t="s">
        <v>9</v>
      </c>
      <c r="F40" s="163" t="s">
        <v>9</v>
      </c>
      <c r="G40" s="163" t="s">
        <v>9</v>
      </c>
      <c r="H40" s="163" t="s">
        <v>9</v>
      </c>
      <c r="I40" s="164"/>
      <c r="J40" s="196"/>
      <c r="K40" s="165"/>
      <c r="L40" s="165"/>
      <c r="M4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0" s="165"/>
      <c r="O40" s="165"/>
      <c r="P40" s="165"/>
      <c r="Q40" s="133">
        <f>IFERROR(VLOOKUP(Attacker_Threat_Zone[[#This Row],[Impact
C]],Impact_Mapping[],2,FALSE),0)</f>
        <v>0</v>
      </c>
      <c r="R40" s="133">
        <f>IFERROR(VLOOKUP(Attacker_Threat_Zone[[#This Row],[Impact
I]],Impact_Mapping[],2,FALSE),0)</f>
        <v>0</v>
      </c>
      <c r="S40" s="133">
        <f>IFERROR(VLOOKUP(Attacker_Threat_Zone[[#This Row],[Impact
A]],Impact_Mapping[],2,FALSE),0)</f>
        <v>0</v>
      </c>
      <c r="T4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0" s="111" t="e" cm="1">
        <f t="array" ref="U40">INDEX(Risk!$C$4:$F$8,Attacker_Threat_Zone[[#This Row],[Likelihood]],VLOOKUP(Attacker_Threat_Zone[[#This Row],[Impact
C]],Impact_Mapping[],2,FALSE))</f>
        <v>#VALUE!</v>
      </c>
      <c r="V40" s="111" t="e" cm="1">
        <f t="array" ref="V40">INDEX(Risk!$C$4:$F$8,Attacker_Threat_Zone[[#This Row],[Likelihood]],VLOOKUP(Attacker_Threat_Zone[[#This Row],[Impact
I]],Impact_Mapping[],2,FALSE))</f>
        <v>#VALUE!</v>
      </c>
      <c r="W40" s="111" t="e" cm="1">
        <f t="array" ref="W40">INDEX(Risk!$C$4:$F$8,Attacker_Threat_Zone[[#This Row],[Likelihood]],VLOOKUP(Attacker_Threat_Zone[[#This Row],[Impact
A]],Impact_Mapping[],2,FALSE))</f>
        <v>#VALUE!</v>
      </c>
      <c r="X40" s="152" t="str" cm="1">
        <f t="array" ref="X4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0" s="193"/>
      <c r="Z40" s="110" t="e">
        <f>IF(Attacker_Threat_Zone[[#This Row],[Relevance]]="No"," ",MAX(VLOOKUP(Attacker_Threat_Zone[[#This Row],[Risk
C]],SL_Mapping[],2,FALSE),0))</f>
        <v>#VALUE!</v>
      </c>
      <c r="AA40" s="110" t="e">
        <f>IF(Attacker_Threat_Zone[[#This Row],[Relevance]]="No"," ",MAX(VLOOKUP(Attacker_Threat_Zone[[#This Row],[Risk
I]],SL_Mapping[],2,FALSE),0))</f>
        <v>#VALUE!</v>
      </c>
      <c r="AB40" s="110" t="e">
        <f>IF(Attacker_Threat_Zone[[#This Row],[Relevance]]="No"," ",MAX(VLOOKUP(Attacker_Threat_Zone[[#This Row],[Risk
A]],SL_Mapping[],2,FALSE),0))</f>
        <v>#VALUE!</v>
      </c>
      <c r="AC4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1" spans="1:35">
      <c r="A41" s="35" t="s">
        <v>122</v>
      </c>
      <c r="B41" s="163" t="s">
        <v>9</v>
      </c>
      <c r="C41" s="163" t="s">
        <v>9</v>
      </c>
      <c r="D41" s="163" t="s">
        <v>9</v>
      </c>
      <c r="E41" s="163" t="s">
        <v>9</v>
      </c>
      <c r="F41" s="163" t="s">
        <v>9</v>
      </c>
      <c r="G41" s="163" t="s">
        <v>9</v>
      </c>
      <c r="H41" s="163" t="s">
        <v>9</v>
      </c>
      <c r="I41" s="164"/>
      <c r="J41" s="196"/>
      <c r="K41" s="165"/>
      <c r="L41" s="165"/>
      <c r="M4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1" s="165"/>
      <c r="O41" s="165"/>
      <c r="P41" s="165"/>
      <c r="Q41" s="133">
        <f>IFERROR(VLOOKUP(Attacker_Threat_Zone[[#This Row],[Impact
C]],Impact_Mapping[],2,FALSE),0)</f>
        <v>0</v>
      </c>
      <c r="R41" s="133">
        <f>IFERROR(VLOOKUP(Attacker_Threat_Zone[[#This Row],[Impact
I]],Impact_Mapping[],2,FALSE),0)</f>
        <v>0</v>
      </c>
      <c r="S41" s="133">
        <f>IFERROR(VLOOKUP(Attacker_Threat_Zone[[#This Row],[Impact
A]],Impact_Mapping[],2,FALSE),0)</f>
        <v>0</v>
      </c>
      <c r="T4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1" s="111" t="e" cm="1">
        <f t="array" ref="U41">INDEX(Risk!$C$4:$F$8,Attacker_Threat_Zone[[#This Row],[Likelihood]],VLOOKUP(Attacker_Threat_Zone[[#This Row],[Impact
C]],Impact_Mapping[],2,FALSE))</f>
        <v>#VALUE!</v>
      </c>
      <c r="V41" s="111" t="e" cm="1">
        <f t="array" ref="V41">INDEX(Risk!$C$4:$F$8,Attacker_Threat_Zone[[#This Row],[Likelihood]],VLOOKUP(Attacker_Threat_Zone[[#This Row],[Impact
I]],Impact_Mapping[],2,FALSE))</f>
        <v>#VALUE!</v>
      </c>
      <c r="W41" s="111" t="e" cm="1">
        <f t="array" ref="W41">INDEX(Risk!$C$4:$F$8,Attacker_Threat_Zone[[#This Row],[Likelihood]],VLOOKUP(Attacker_Threat_Zone[[#This Row],[Impact
A]],Impact_Mapping[],2,FALSE))</f>
        <v>#VALUE!</v>
      </c>
      <c r="X41" s="152" t="str" cm="1">
        <f t="array" ref="X4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1" s="193"/>
      <c r="Z41" s="110" t="e">
        <f>IF(Attacker_Threat_Zone[[#This Row],[Relevance]]="No"," ",MAX(VLOOKUP(Attacker_Threat_Zone[[#This Row],[Risk
C]],SL_Mapping[],2,FALSE),0))</f>
        <v>#VALUE!</v>
      </c>
      <c r="AA41" s="110" t="e">
        <f>IF(Attacker_Threat_Zone[[#This Row],[Relevance]]="No"," ",MAX(VLOOKUP(Attacker_Threat_Zone[[#This Row],[Risk
I]],SL_Mapping[],2,FALSE),0))</f>
        <v>#VALUE!</v>
      </c>
      <c r="AB41" s="110" t="e">
        <f>IF(Attacker_Threat_Zone[[#This Row],[Relevance]]="No"," ",MAX(VLOOKUP(Attacker_Threat_Zone[[#This Row],[Risk
A]],SL_Mapping[],2,FALSE),0))</f>
        <v>#VALUE!</v>
      </c>
      <c r="AC41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1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1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1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1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1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1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2" spans="1:35">
      <c r="A42" s="35" t="s">
        <v>577</v>
      </c>
      <c r="B42" s="163" t="s">
        <v>95</v>
      </c>
      <c r="C42" s="163" t="s">
        <v>95</v>
      </c>
      <c r="D42" s="163" t="s">
        <v>93</v>
      </c>
      <c r="E42" s="163" t="s">
        <v>81</v>
      </c>
      <c r="F42" s="163" t="s">
        <v>9</v>
      </c>
      <c r="G42" s="163" t="s">
        <v>9</v>
      </c>
      <c r="H42" s="163" t="s">
        <v>9</v>
      </c>
      <c r="I42" s="164"/>
      <c r="J42" s="196"/>
      <c r="K42" s="165"/>
      <c r="L42" s="165"/>
      <c r="M4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2" s="165"/>
      <c r="O42" s="165"/>
      <c r="P42" s="165"/>
      <c r="Q42" s="133">
        <f>IFERROR(VLOOKUP(Attacker_Threat_Zone[[#This Row],[Impact
C]],Impact_Mapping[],2,FALSE),0)</f>
        <v>0</v>
      </c>
      <c r="R42" s="133">
        <f>IFERROR(VLOOKUP(Attacker_Threat_Zone[[#This Row],[Impact
I]],Impact_Mapping[],2,FALSE),0)</f>
        <v>0</v>
      </c>
      <c r="S42" s="133">
        <f>IFERROR(VLOOKUP(Attacker_Threat_Zone[[#This Row],[Impact
A]],Impact_Mapping[],2,FALSE),0)</f>
        <v>0</v>
      </c>
      <c r="T4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2" s="111" t="e" cm="1">
        <f t="array" ref="U42">INDEX(Risk!$C$4:$F$8,Attacker_Threat_Zone[[#This Row],[Likelihood]],VLOOKUP(Attacker_Threat_Zone[[#This Row],[Impact
C]],Impact_Mapping[],2,FALSE))</f>
        <v>#VALUE!</v>
      </c>
      <c r="V42" s="111" t="e" cm="1">
        <f t="array" ref="V42">INDEX(Risk!$C$4:$F$8,Attacker_Threat_Zone[[#This Row],[Likelihood]],VLOOKUP(Attacker_Threat_Zone[[#This Row],[Impact
I]],Impact_Mapping[],2,FALSE))</f>
        <v>#VALUE!</v>
      </c>
      <c r="W42" s="111" t="e" cm="1">
        <f t="array" ref="W42">INDEX(Risk!$C$4:$F$8,Attacker_Threat_Zone[[#This Row],[Likelihood]],VLOOKUP(Attacker_Threat_Zone[[#This Row],[Impact
A]],Impact_Mapping[],2,FALSE))</f>
        <v>#VALUE!</v>
      </c>
      <c r="X42" s="152" t="str" cm="1">
        <f t="array" ref="X4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2" s="193"/>
      <c r="Z42" s="110" t="e">
        <f>IF(Attacker_Threat_Zone[[#This Row],[Relevance]]="No"," ",MAX(VLOOKUP(Attacker_Threat_Zone[[#This Row],[Risk
C]],SL_Mapping[],2,FALSE),0))</f>
        <v>#VALUE!</v>
      </c>
      <c r="AA42" s="110" t="e">
        <f>IF(Attacker_Threat_Zone[[#This Row],[Relevance]]="No"," ",MAX(VLOOKUP(Attacker_Threat_Zone[[#This Row],[Risk
I]],SL_Mapping[],2,FALSE),0))</f>
        <v>#VALUE!</v>
      </c>
      <c r="AB42" s="110" t="e">
        <f>IF(Attacker_Threat_Zone[[#This Row],[Relevance]]="No"," ",MAX(VLOOKUP(Attacker_Threat_Zone[[#This Row],[Risk
A]],SL_Mapping[],2,FALSE),0))</f>
        <v>#VALUE!</v>
      </c>
      <c r="AC4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3" spans="1:35">
      <c r="A43" s="35" t="s">
        <v>123</v>
      </c>
      <c r="B43" s="163" t="s">
        <v>95</v>
      </c>
      <c r="C43" s="163" t="s">
        <v>95</v>
      </c>
      <c r="D43" s="163" t="s">
        <v>93</v>
      </c>
      <c r="E43" s="163" t="s">
        <v>81</v>
      </c>
      <c r="F43" s="163" t="s">
        <v>95</v>
      </c>
      <c r="G43" s="163" t="s">
        <v>96</v>
      </c>
      <c r="H43" s="163" t="s">
        <v>82</v>
      </c>
      <c r="I43" s="164"/>
      <c r="J43" s="196"/>
      <c r="K43" s="165"/>
      <c r="L43" s="165"/>
      <c r="M4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3" s="165"/>
      <c r="O43" s="165"/>
      <c r="P43" s="165"/>
      <c r="Q43" s="133">
        <f>IFERROR(VLOOKUP(Attacker_Threat_Zone[[#This Row],[Impact
C]],Impact_Mapping[],2,FALSE),0)</f>
        <v>0</v>
      </c>
      <c r="R43" s="133">
        <f>IFERROR(VLOOKUP(Attacker_Threat_Zone[[#This Row],[Impact
I]],Impact_Mapping[],2,FALSE),0)</f>
        <v>0</v>
      </c>
      <c r="S43" s="133">
        <f>IFERROR(VLOOKUP(Attacker_Threat_Zone[[#This Row],[Impact
A]],Impact_Mapping[],2,FALSE),0)</f>
        <v>0</v>
      </c>
      <c r="T4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3" s="111" t="e" cm="1">
        <f t="array" ref="U43">INDEX(Risk!$C$4:$F$8,Attacker_Threat_Zone[[#This Row],[Likelihood]],VLOOKUP(Attacker_Threat_Zone[[#This Row],[Impact
C]],Impact_Mapping[],2,FALSE))</f>
        <v>#VALUE!</v>
      </c>
      <c r="V43" s="111" t="e" cm="1">
        <f t="array" ref="V43">INDEX(Risk!$C$4:$F$8,Attacker_Threat_Zone[[#This Row],[Likelihood]],VLOOKUP(Attacker_Threat_Zone[[#This Row],[Impact
I]],Impact_Mapping[],2,FALSE))</f>
        <v>#VALUE!</v>
      </c>
      <c r="W43" s="111" t="e" cm="1">
        <f t="array" ref="W43">INDEX(Risk!$C$4:$F$8,Attacker_Threat_Zone[[#This Row],[Likelihood]],VLOOKUP(Attacker_Threat_Zone[[#This Row],[Impact
A]],Impact_Mapping[],2,FALSE))</f>
        <v>#VALUE!</v>
      </c>
      <c r="X43" s="152" t="str" cm="1">
        <f t="array" ref="X4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3" s="193"/>
      <c r="Z43" s="110" t="e">
        <f>IF(Attacker_Threat_Zone[[#This Row],[Relevance]]="No"," ",MAX(VLOOKUP(Attacker_Threat_Zone[[#This Row],[Risk
C]],SL_Mapping[],2,FALSE),0))</f>
        <v>#VALUE!</v>
      </c>
      <c r="AA43" s="110" t="e">
        <f>IF(Attacker_Threat_Zone[[#This Row],[Relevance]]="No"," ",MAX(VLOOKUP(Attacker_Threat_Zone[[#This Row],[Risk
I]],SL_Mapping[],2,FALSE),0))</f>
        <v>#VALUE!</v>
      </c>
      <c r="AB43" s="110" t="e">
        <f>IF(Attacker_Threat_Zone[[#This Row],[Relevance]]="No"," ",MAX(VLOOKUP(Attacker_Threat_Zone[[#This Row],[Risk
A]],SL_Mapping[],2,FALSE),0))</f>
        <v>#VALUE!</v>
      </c>
      <c r="AC4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4" spans="1:35">
      <c r="A44" s="35" t="s">
        <v>124</v>
      </c>
      <c r="B44" s="163" t="s">
        <v>9</v>
      </c>
      <c r="C44" s="163" t="s">
        <v>9</v>
      </c>
      <c r="D44" s="163" t="s">
        <v>9</v>
      </c>
      <c r="E44" s="163" t="s">
        <v>9</v>
      </c>
      <c r="F44" s="163" t="s">
        <v>95</v>
      </c>
      <c r="G44" s="163" t="s">
        <v>96</v>
      </c>
      <c r="H44" s="163" t="s">
        <v>82</v>
      </c>
      <c r="I44" s="164"/>
      <c r="J44" s="196"/>
      <c r="K44" s="165"/>
      <c r="L44" s="165"/>
      <c r="M4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4" s="165"/>
      <c r="O44" s="165"/>
      <c r="P44" s="165"/>
      <c r="Q44" s="133">
        <f>IFERROR(VLOOKUP(Attacker_Threat_Zone[[#This Row],[Impact
C]],Impact_Mapping[],2,FALSE),0)</f>
        <v>0</v>
      </c>
      <c r="R44" s="133">
        <f>IFERROR(VLOOKUP(Attacker_Threat_Zone[[#This Row],[Impact
I]],Impact_Mapping[],2,FALSE),0)</f>
        <v>0</v>
      </c>
      <c r="S44" s="133">
        <f>IFERROR(VLOOKUP(Attacker_Threat_Zone[[#This Row],[Impact
A]],Impact_Mapping[],2,FALSE),0)</f>
        <v>0</v>
      </c>
      <c r="T4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4" s="111" t="e" cm="1">
        <f t="array" ref="U44">INDEX(Risk!$C$4:$F$8,Attacker_Threat_Zone[[#This Row],[Likelihood]],VLOOKUP(Attacker_Threat_Zone[[#This Row],[Impact
C]],Impact_Mapping[],2,FALSE))</f>
        <v>#VALUE!</v>
      </c>
      <c r="V44" s="111" t="e" cm="1">
        <f t="array" ref="V44">INDEX(Risk!$C$4:$F$8,Attacker_Threat_Zone[[#This Row],[Likelihood]],VLOOKUP(Attacker_Threat_Zone[[#This Row],[Impact
I]],Impact_Mapping[],2,FALSE))</f>
        <v>#VALUE!</v>
      </c>
      <c r="W44" s="111" t="e" cm="1">
        <f t="array" ref="W44">INDEX(Risk!$C$4:$F$8,Attacker_Threat_Zone[[#This Row],[Likelihood]],VLOOKUP(Attacker_Threat_Zone[[#This Row],[Impact
A]],Impact_Mapping[],2,FALSE))</f>
        <v>#VALUE!</v>
      </c>
      <c r="X44" s="152" t="str" cm="1">
        <f t="array" ref="X4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4" s="193"/>
      <c r="Z44" s="110" t="e">
        <f>IF(Attacker_Threat_Zone[[#This Row],[Relevance]]="No"," ",MAX(VLOOKUP(Attacker_Threat_Zone[[#This Row],[Risk
C]],SL_Mapping[],2,FALSE),0))</f>
        <v>#VALUE!</v>
      </c>
      <c r="AA44" s="110" t="e">
        <f>IF(Attacker_Threat_Zone[[#This Row],[Relevance]]="No"," ",MAX(VLOOKUP(Attacker_Threat_Zone[[#This Row],[Risk
I]],SL_Mapping[],2,FALSE),0))</f>
        <v>#VALUE!</v>
      </c>
      <c r="AB44" s="110" t="e">
        <f>IF(Attacker_Threat_Zone[[#This Row],[Relevance]]="No"," ",MAX(VLOOKUP(Attacker_Threat_Zone[[#This Row],[Risk
A]],SL_Mapping[],2,FALSE),0))</f>
        <v>#VALUE!</v>
      </c>
      <c r="AC44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4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4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4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4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4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4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5" spans="1:35">
      <c r="A45" s="35" t="s">
        <v>125</v>
      </c>
      <c r="B45" s="163" t="s">
        <v>95</v>
      </c>
      <c r="C45" s="163" t="s">
        <v>95</v>
      </c>
      <c r="D45" s="163" t="s">
        <v>9</v>
      </c>
      <c r="E45" s="163" t="s">
        <v>9</v>
      </c>
      <c r="F45" s="163" t="s">
        <v>9</v>
      </c>
      <c r="G45" s="163" t="s">
        <v>9</v>
      </c>
      <c r="H45" s="163" t="s">
        <v>9</v>
      </c>
      <c r="I45" s="164"/>
      <c r="J45" s="196"/>
      <c r="K45" s="165"/>
      <c r="L45" s="165"/>
      <c r="M45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5" s="165"/>
      <c r="O45" s="165"/>
      <c r="P45" s="165"/>
      <c r="Q45" s="133">
        <f>IFERROR(VLOOKUP(Attacker_Threat_Zone[[#This Row],[Impact
C]],Impact_Mapping[],2,FALSE),0)</f>
        <v>0</v>
      </c>
      <c r="R45" s="133">
        <f>IFERROR(VLOOKUP(Attacker_Threat_Zone[[#This Row],[Impact
I]],Impact_Mapping[],2,FALSE),0)</f>
        <v>0</v>
      </c>
      <c r="S45" s="133">
        <f>IFERROR(VLOOKUP(Attacker_Threat_Zone[[#This Row],[Impact
A]],Impact_Mapping[],2,FALSE),0)</f>
        <v>0</v>
      </c>
      <c r="T45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5" s="111" t="e" cm="1">
        <f t="array" ref="U45">INDEX(Risk!$C$4:$F$8,Attacker_Threat_Zone[[#This Row],[Likelihood]],VLOOKUP(Attacker_Threat_Zone[[#This Row],[Impact
C]],Impact_Mapping[],2,FALSE))</f>
        <v>#VALUE!</v>
      </c>
      <c r="V45" s="111" t="e" cm="1">
        <f t="array" ref="V45">INDEX(Risk!$C$4:$F$8,Attacker_Threat_Zone[[#This Row],[Likelihood]],VLOOKUP(Attacker_Threat_Zone[[#This Row],[Impact
I]],Impact_Mapping[],2,FALSE))</f>
        <v>#VALUE!</v>
      </c>
      <c r="W45" s="111" t="e" cm="1">
        <f t="array" ref="W45">INDEX(Risk!$C$4:$F$8,Attacker_Threat_Zone[[#This Row],[Likelihood]],VLOOKUP(Attacker_Threat_Zone[[#This Row],[Impact
A]],Impact_Mapping[],2,FALSE))</f>
        <v>#VALUE!</v>
      </c>
      <c r="X45" s="152" t="str" cm="1">
        <f t="array" ref="X45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5" s="193"/>
      <c r="Z45" s="110" t="e">
        <f>IF(Attacker_Threat_Zone[[#This Row],[Relevance]]="No"," ",MAX(VLOOKUP(Attacker_Threat_Zone[[#This Row],[Risk
C]],SL_Mapping[],2,FALSE),0))</f>
        <v>#VALUE!</v>
      </c>
      <c r="AA45" s="110" t="e">
        <f>IF(Attacker_Threat_Zone[[#This Row],[Relevance]]="No"," ",MAX(VLOOKUP(Attacker_Threat_Zone[[#This Row],[Risk
I]],SL_Mapping[],2,FALSE),0))</f>
        <v>#VALUE!</v>
      </c>
      <c r="AB45" s="110" t="e">
        <f>IF(Attacker_Threat_Zone[[#This Row],[Relevance]]="No"," ",MAX(VLOOKUP(Attacker_Threat_Zone[[#This Row],[Risk
A]],SL_Mapping[],2,FALSE),0))</f>
        <v>#VALUE!</v>
      </c>
      <c r="AC45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5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5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5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5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5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5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6" spans="1:35">
      <c r="A46" s="35" t="s">
        <v>126</v>
      </c>
      <c r="B46" s="163" t="s">
        <v>9</v>
      </c>
      <c r="C46" s="163" t="s">
        <v>9</v>
      </c>
      <c r="D46" s="163" t="s">
        <v>9</v>
      </c>
      <c r="E46" s="163" t="s">
        <v>9</v>
      </c>
      <c r="F46" s="163" t="s">
        <v>9</v>
      </c>
      <c r="G46" s="163" t="s">
        <v>96</v>
      </c>
      <c r="H46" s="163" t="s">
        <v>9</v>
      </c>
      <c r="I46" s="164"/>
      <c r="J46" s="196"/>
      <c r="K46" s="165"/>
      <c r="L46" s="165"/>
      <c r="M46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6" s="165"/>
      <c r="O46" s="165"/>
      <c r="P46" s="165"/>
      <c r="Q46" s="133">
        <f>IFERROR(VLOOKUP(Attacker_Threat_Zone[[#This Row],[Impact
C]],Impact_Mapping[],2,FALSE),0)</f>
        <v>0</v>
      </c>
      <c r="R46" s="133">
        <f>IFERROR(VLOOKUP(Attacker_Threat_Zone[[#This Row],[Impact
I]],Impact_Mapping[],2,FALSE),0)</f>
        <v>0</v>
      </c>
      <c r="S46" s="133">
        <f>IFERROR(VLOOKUP(Attacker_Threat_Zone[[#This Row],[Impact
A]],Impact_Mapping[],2,FALSE),0)</f>
        <v>0</v>
      </c>
      <c r="T4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6" s="111" t="e" cm="1">
        <f t="array" ref="U46">INDEX(Risk!$C$4:$F$8,Attacker_Threat_Zone[[#This Row],[Likelihood]],VLOOKUP(Attacker_Threat_Zone[[#This Row],[Impact
C]],Impact_Mapping[],2,FALSE))</f>
        <v>#VALUE!</v>
      </c>
      <c r="V46" s="111" t="e" cm="1">
        <f t="array" ref="V46">INDEX(Risk!$C$4:$F$8,Attacker_Threat_Zone[[#This Row],[Likelihood]],VLOOKUP(Attacker_Threat_Zone[[#This Row],[Impact
I]],Impact_Mapping[],2,FALSE))</f>
        <v>#VALUE!</v>
      </c>
      <c r="W46" s="111" t="e" cm="1">
        <f t="array" ref="W46">INDEX(Risk!$C$4:$F$8,Attacker_Threat_Zone[[#This Row],[Likelihood]],VLOOKUP(Attacker_Threat_Zone[[#This Row],[Impact
A]],Impact_Mapping[],2,FALSE))</f>
        <v>#VALUE!</v>
      </c>
      <c r="X46" s="152" t="str" cm="1">
        <f t="array" ref="X4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6" s="193"/>
      <c r="Z46" s="110" t="e">
        <f>IF(Attacker_Threat_Zone[[#This Row],[Relevance]]="No"," ",MAX(VLOOKUP(Attacker_Threat_Zone[[#This Row],[Risk
C]],SL_Mapping[],2,FALSE),0))</f>
        <v>#VALUE!</v>
      </c>
      <c r="AA46" s="110" t="e">
        <f>IF(Attacker_Threat_Zone[[#This Row],[Relevance]]="No"," ",MAX(VLOOKUP(Attacker_Threat_Zone[[#This Row],[Risk
I]],SL_Mapping[],2,FALSE),0))</f>
        <v>#VALUE!</v>
      </c>
      <c r="AB46" s="110" t="e">
        <f>IF(Attacker_Threat_Zone[[#This Row],[Relevance]]="No"," ",MAX(VLOOKUP(Attacker_Threat_Zone[[#This Row],[Risk
A]],SL_Mapping[],2,FALSE),0))</f>
        <v>#VALUE!</v>
      </c>
      <c r="AC46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6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6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6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6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6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6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7" spans="1:35">
      <c r="A47" s="35" t="s">
        <v>127</v>
      </c>
      <c r="B47" s="163" t="s">
        <v>95</v>
      </c>
      <c r="C47" s="163" t="s">
        <v>95</v>
      </c>
      <c r="D47" s="163" t="s">
        <v>93</v>
      </c>
      <c r="E47" s="163" t="s">
        <v>81</v>
      </c>
      <c r="F47" s="163" t="s">
        <v>95</v>
      </c>
      <c r="G47" s="163" t="s">
        <v>96</v>
      </c>
      <c r="H47" s="163" t="s">
        <v>82</v>
      </c>
      <c r="I47" s="164"/>
      <c r="J47" s="196"/>
      <c r="K47" s="165"/>
      <c r="L47" s="165"/>
      <c r="M47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7" s="165"/>
      <c r="O47" s="165"/>
      <c r="P47" s="165"/>
      <c r="Q47" s="133">
        <f>IFERROR(VLOOKUP(Attacker_Threat_Zone[[#This Row],[Impact
C]],Impact_Mapping[],2,FALSE),0)</f>
        <v>0</v>
      </c>
      <c r="R47" s="133">
        <f>IFERROR(VLOOKUP(Attacker_Threat_Zone[[#This Row],[Impact
I]],Impact_Mapping[],2,FALSE),0)</f>
        <v>0</v>
      </c>
      <c r="S47" s="133">
        <f>IFERROR(VLOOKUP(Attacker_Threat_Zone[[#This Row],[Impact
A]],Impact_Mapping[],2,FALSE),0)</f>
        <v>0</v>
      </c>
      <c r="T4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7" s="111" t="e" cm="1">
        <f t="array" ref="U47">INDEX(Risk!$C$4:$F$8,Attacker_Threat_Zone[[#This Row],[Likelihood]],VLOOKUP(Attacker_Threat_Zone[[#This Row],[Impact
C]],Impact_Mapping[],2,FALSE))</f>
        <v>#VALUE!</v>
      </c>
      <c r="V47" s="111" t="e" cm="1">
        <f t="array" ref="V47">INDEX(Risk!$C$4:$F$8,Attacker_Threat_Zone[[#This Row],[Likelihood]],VLOOKUP(Attacker_Threat_Zone[[#This Row],[Impact
I]],Impact_Mapping[],2,FALSE))</f>
        <v>#VALUE!</v>
      </c>
      <c r="W47" s="111" t="e" cm="1">
        <f t="array" ref="W47">INDEX(Risk!$C$4:$F$8,Attacker_Threat_Zone[[#This Row],[Likelihood]],VLOOKUP(Attacker_Threat_Zone[[#This Row],[Impact
A]],Impact_Mapping[],2,FALSE))</f>
        <v>#VALUE!</v>
      </c>
      <c r="X47" s="152" t="str" cm="1">
        <f t="array" ref="X4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7" s="193"/>
      <c r="Z47" s="110" t="e">
        <f>IF(Attacker_Threat_Zone[[#This Row],[Relevance]]="No"," ",MAX(VLOOKUP(Attacker_Threat_Zone[[#This Row],[Risk
C]],SL_Mapping[],2,FALSE),0))</f>
        <v>#VALUE!</v>
      </c>
      <c r="AA47" s="110" t="e">
        <f>IF(Attacker_Threat_Zone[[#This Row],[Relevance]]="No"," ",MAX(VLOOKUP(Attacker_Threat_Zone[[#This Row],[Risk
I]],SL_Mapping[],2,FALSE),0))</f>
        <v>#VALUE!</v>
      </c>
      <c r="AB47" s="110" t="e">
        <f>IF(Attacker_Threat_Zone[[#This Row],[Relevance]]="No"," ",MAX(VLOOKUP(Attacker_Threat_Zone[[#This Row],[Risk
A]],SL_Mapping[],2,FALSE),0))</f>
        <v>#VALUE!</v>
      </c>
      <c r="AC4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8" spans="1:35">
      <c r="A48" s="35" t="s">
        <v>128</v>
      </c>
      <c r="B48" s="163" t="s">
        <v>9</v>
      </c>
      <c r="C48" s="163" t="s">
        <v>9</v>
      </c>
      <c r="D48" s="163" t="s">
        <v>9</v>
      </c>
      <c r="E48" s="163" t="s">
        <v>9</v>
      </c>
      <c r="F48" s="163" t="s">
        <v>9</v>
      </c>
      <c r="G48" s="163" t="s">
        <v>9</v>
      </c>
      <c r="H48" s="163" t="s">
        <v>9</v>
      </c>
      <c r="I48" s="164"/>
      <c r="J48" s="196"/>
      <c r="K48" s="165"/>
      <c r="L48" s="165"/>
      <c r="M4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8" s="165"/>
      <c r="O48" s="165"/>
      <c r="P48" s="165"/>
      <c r="Q48" s="133">
        <f>IFERROR(VLOOKUP(Attacker_Threat_Zone[[#This Row],[Impact
C]],Impact_Mapping[],2,FALSE),0)</f>
        <v>0</v>
      </c>
      <c r="R48" s="133">
        <f>IFERROR(VLOOKUP(Attacker_Threat_Zone[[#This Row],[Impact
I]],Impact_Mapping[],2,FALSE),0)</f>
        <v>0</v>
      </c>
      <c r="S48" s="133">
        <f>IFERROR(VLOOKUP(Attacker_Threat_Zone[[#This Row],[Impact
A]],Impact_Mapping[],2,FALSE),0)</f>
        <v>0</v>
      </c>
      <c r="T4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8" s="111" t="e" cm="1">
        <f t="array" ref="U48">INDEX(Risk!$C$4:$F$8,Attacker_Threat_Zone[[#This Row],[Likelihood]],VLOOKUP(Attacker_Threat_Zone[[#This Row],[Impact
C]],Impact_Mapping[],2,FALSE))</f>
        <v>#VALUE!</v>
      </c>
      <c r="V48" s="111" t="e" cm="1">
        <f t="array" ref="V48">INDEX(Risk!$C$4:$F$8,Attacker_Threat_Zone[[#This Row],[Likelihood]],VLOOKUP(Attacker_Threat_Zone[[#This Row],[Impact
I]],Impact_Mapping[],2,FALSE))</f>
        <v>#VALUE!</v>
      </c>
      <c r="W48" s="111" t="e" cm="1">
        <f t="array" ref="W48">INDEX(Risk!$C$4:$F$8,Attacker_Threat_Zone[[#This Row],[Likelihood]],VLOOKUP(Attacker_Threat_Zone[[#This Row],[Impact
A]],Impact_Mapping[],2,FALSE))</f>
        <v>#VALUE!</v>
      </c>
      <c r="X48" s="152" t="str" cm="1">
        <f t="array" ref="X4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8" s="193"/>
      <c r="Z48" s="110" t="e">
        <f>IF(Attacker_Threat_Zone[[#This Row],[Relevance]]="No"," ",MAX(VLOOKUP(Attacker_Threat_Zone[[#This Row],[Risk
C]],SL_Mapping[],2,FALSE),0))</f>
        <v>#VALUE!</v>
      </c>
      <c r="AA48" s="110" t="e">
        <f>IF(Attacker_Threat_Zone[[#This Row],[Relevance]]="No"," ",MAX(VLOOKUP(Attacker_Threat_Zone[[#This Row],[Risk
I]],SL_Mapping[],2,FALSE),0))</f>
        <v>#VALUE!</v>
      </c>
      <c r="AB48" s="110" t="e">
        <f>IF(Attacker_Threat_Zone[[#This Row],[Relevance]]="No"," ",MAX(VLOOKUP(Attacker_Threat_Zone[[#This Row],[Risk
A]],SL_Mapping[],2,FALSE),0))</f>
        <v>#VALUE!</v>
      </c>
      <c r="AC4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49" spans="1:35">
      <c r="A49" s="35" t="s">
        <v>129</v>
      </c>
      <c r="B49" s="163" t="s">
        <v>9</v>
      </c>
      <c r="C49" s="163" t="s">
        <v>9</v>
      </c>
      <c r="D49" s="163" t="s">
        <v>9</v>
      </c>
      <c r="E49" s="163" t="s">
        <v>9</v>
      </c>
      <c r="F49" s="163" t="s">
        <v>95</v>
      </c>
      <c r="G49" s="163" t="s">
        <v>9</v>
      </c>
      <c r="H49" s="163" t="s">
        <v>9</v>
      </c>
      <c r="I49" s="164"/>
      <c r="J49" s="196"/>
      <c r="K49" s="165"/>
      <c r="L49" s="165"/>
      <c r="M49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49" s="165"/>
      <c r="O49" s="165"/>
      <c r="P49" s="165"/>
      <c r="Q49" s="133">
        <f>IFERROR(VLOOKUP(Attacker_Threat_Zone[[#This Row],[Impact
C]],Impact_Mapping[],2,FALSE),0)</f>
        <v>0</v>
      </c>
      <c r="R49" s="133">
        <f>IFERROR(VLOOKUP(Attacker_Threat_Zone[[#This Row],[Impact
I]],Impact_Mapping[],2,FALSE),0)</f>
        <v>0</v>
      </c>
      <c r="S49" s="133">
        <f>IFERROR(VLOOKUP(Attacker_Threat_Zone[[#This Row],[Impact
A]],Impact_Mapping[],2,FALSE),0)</f>
        <v>0</v>
      </c>
      <c r="T4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49" s="111" t="e" cm="1">
        <f t="array" ref="U49">INDEX(Risk!$C$4:$F$8,Attacker_Threat_Zone[[#This Row],[Likelihood]],VLOOKUP(Attacker_Threat_Zone[[#This Row],[Impact
C]],Impact_Mapping[],2,FALSE))</f>
        <v>#VALUE!</v>
      </c>
      <c r="V49" s="111" t="e" cm="1">
        <f t="array" ref="V49">INDEX(Risk!$C$4:$F$8,Attacker_Threat_Zone[[#This Row],[Likelihood]],VLOOKUP(Attacker_Threat_Zone[[#This Row],[Impact
I]],Impact_Mapping[],2,FALSE))</f>
        <v>#VALUE!</v>
      </c>
      <c r="W49" s="111" t="e" cm="1">
        <f t="array" ref="W49">INDEX(Risk!$C$4:$F$8,Attacker_Threat_Zone[[#This Row],[Likelihood]],VLOOKUP(Attacker_Threat_Zone[[#This Row],[Impact
A]],Impact_Mapping[],2,FALSE))</f>
        <v>#VALUE!</v>
      </c>
      <c r="X49" s="152" t="str" cm="1">
        <f t="array" ref="X4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49" s="193"/>
      <c r="Z49" s="110" t="e">
        <f>IF(Attacker_Threat_Zone[[#This Row],[Relevance]]="No"," ",MAX(VLOOKUP(Attacker_Threat_Zone[[#This Row],[Risk
C]],SL_Mapping[],2,FALSE),0))</f>
        <v>#VALUE!</v>
      </c>
      <c r="AA49" s="110" t="e">
        <f>IF(Attacker_Threat_Zone[[#This Row],[Relevance]]="No"," ",MAX(VLOOKUP(Attacker_Threat_Zone[[#This Row],[Risk
I]],SL_Mapping[],2,FALSE),0))</f>
        <v>#VALUE!</v>
      </c>
      <c r="AB49" s="110" t="e">
        <f>IF(Attacker_Threat_Zone[[#This Row],[Relevance]]="No"," ",MAX(VLOOKUP(Attacker_Threat_Zone[[#This Row],[Risk
A]],SL_Mapping[],2,FALSE),0))</f>
        <v>#VALUE!</v>
      </c>
      <c r="AC4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4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4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4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4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4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4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0" spans="1:35">
      <c r="A50" s="35" t="s">
        <v>130</v>
      </c>
      <c r="B50" s="163" t="s">
        <v>9</v>
      </c>
      <c r="C50" s="163" t="s">
        <v>9</v>
      </c>
      <c r="D50" s="163" t="s">
        <v>9</v>
      </c>
      <c r="E50" s="163" t="s">
        <v>9</v>
      </c>
      <c r="F50" s="163" t="s">
        <v>82</v>
      </c>
      <c r="G50" s="163" t="s">
        <v>9</v>
      </c>
      <c r="H50" s="163" t="s">
        <v>82</v>
      </c>
      <c r="I50" s="164"/>
      <c r="J50" s="196"/>
      <c r="K50" s="165"/>
      <c r="L50" s="165"/>
      <c r="M5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0" s="165"/>
      <c r="O50" s="165"/>
      <c r="P50" s="165"/>
      <c r="Q50" s="133">
        <f>IFERROR(VLOOKUP(Attacker_Threat_Zone[[#This Row],[Impact
C]],Impact_Mapping[],2,FALSE),0)</f>
        <v>0</v>
      </c>
      <c r="R50" s="133">
        <f>IFERROR(VLOOKUP(Attacker_Threat_Zone[[#This Row],[Impact
I]],Impact_Mapping[],2,FALSE),0)</f>
        <v>0</v>
      </c>
      <c r="S50" s="133">
        <f>IFERROR(VLOOKUP(Attacker_Threat_Zone[[#This Row],[Impact
A]],Impact_Mapping[],2,FALSE),0)</f>
        <v>0</v>
      </c>
      <c r="T5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0" s="111" t="e" cm="1">
        <f t="array" ref="U50">INDEX(Risk!$C$4:$F$8,Attacker_Threat_Zone[[#This Row],[Likelihood]],VLOOKUP(Attacker_Threat_Zone[[#This Row],[Impact
C]],Impact_Mapping[],2,FALSE))</f>
        <v>#VALUE!</v>
      </c>
      <c r="V50" s="111" t="e" cm="1">
        <f t="array" ref="V50">INDEX(Risk!$C$4:$F$8,Attacker_Threat_Zone[[#This Row],[Likelihood]],VLOOKUP(Attacker_Threat_Zone[[#This Row],[Impact
I]],Impact_Mapping[],2,FALSE))</f>
        <v>#VALUE!</v>
      </c>
      <c r="W50" s="111" t="e" cm="1">
        <f t="array" ref="W50">INDEX(Risk!$C$4:$F$8,Attacker_Threat_Zone[[#This Row],[Likelihood]],VLOOKUP(Attacker_Threat_Zone[[#This Row],[Impact
A]],Impact_Mapping[],2,FALSE))</f>
        <v>#VALUE!</v>
      </c>
      <c r="X50" s="152" t="str" cm="1">
        <f t="array" ref="X5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0" s="193"/>
      <c r="Z50" s="110" t="e">
        <f>IF(Attacker_Threat_Zone[[#This Row],[Relevance]]="No"," ",MAX(VLOOKUP(Attacker_Threat_Zone[[#This Row],[Risk
C]],SL_Mapping[],2,FALSE),0))</f>
        <v>#VALUE!</v>
      </c>
      <c r="AA50" s="110" t="e">
        <f>IF(Attacker_Threat_Zone[[#This Row],[Relevance]]="No"," ",MAX(VLOOKUP(Attacker_Threat_Zone[[#This Row],[Risk
I]],SL_Mapping[],2,FALSE),0))</f>
        <v>#VALUE!</v>
      </c>
      <c r="AB50" s="110" t="e">
        <f>IF(Attacker_Threat_Zone[[#This Row],[Relevance]]="No"," ",MAX(VLOOKUP(Attacker_Threat_Zone[[#This Row],[Risk
A]],SL_Mapping[],2,FALSE),0))</f>
        <v>#VALUE!</v>
      </c>
      <c r="AC5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1" spans="1:35">
      <c r="A51" s="35" t="s">
        <v>131</v>
      </c>
      <c r="B51" s="163" t="s">
        <v>95</v>
      </c>
      <c r="C51" s="163" t="s">
        <v>95</v>
      </c>
      <c r="D51" s="163" t="s">
        <v>9</v>
      </c>
      <c r="E51" s="163" t="s">
        <v>9</v>
      </c>
      <c r="F51" s="163" t="s">
        <v>9</v>
      </c>
      <c r="G51" s="163" t="s">
        <v>9</v>
      </c>
      <c r="H51" s="163" t="s">
        <v>9</v>
      </c>
      <c r="I51" s="164"/>
      <c r="J51" s="197"/>
      <c r="K51" s="165"/>
      <c r="L51" s="165"/>
      <c r="M5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1" s="165"/>
      <c r="O51" s="165"/>
      <c r="P51" s="165"/>
      <c r="Q51" s="133">
        <f>IFERROR(VLOOKUP(Attacker_Threat_Zone[[#This Row],[Impact
C]],Impact_Mapping[],2,FALSE),0)</f>
        <v>0</v>
      </c>
      <c r="R51" s="133">
        <f>IFERROR(VLOOKUP(Attacker_Threat_Zone[[#This Row],[Impact
I]],Impact_Mapping[],2,FALSE),0)</f>
        <v>0</v>
      </c>
      <c r="S51" s="133">
        <f>IFERROR(VLOOKUP(Attacker_Threat_Zone[[#This Row],[Impact
A]],Impact_Mapping[],2,FALSE),0)</f>
        <v>0</v>
      </c>
      <c r="T5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1" s="111" t="e" cm="1">
        <f t="array" ref="U51">INDEX(Risk!$C$4:$F$8,Attacker_Threat_Zone[[#This Row],[Likelihood]],VLOOKUP(Attacker_Threat_Zone[[#This Row],[Impact
C]],Impact_Mapping[],2,FALSE))</f>
        <v>#VALUE!</v>
      </c>
      <c r="V51" s="111" t="e" cm="1">
        <f t="array" ref="V51">INDEX(Risk!$C$4:$F$8,Attacker_Threat_Zone[[#This Row],[Likelihood]],VLOOKUP(Attacker_Threat_Zone[[#This Row],[Impact
I]],Impact_Mapping[],2,FALSE))</f>
        <v>#VALUE!</v>
      </c>
      <c r="W51" s="111" t="e" cm="1">
        <f t="array" ref="W51">INDEX(Risk!$C$4:$F$8,Attacker_Threat_Zone[[#This Row],[Likelihood]],VLOOKUP(Attacker_Threat_Zone[[#This Row],[Impact
A]],Impact_Mapping[],2,FALSE))</f>
        <v>#VALUE!</v>
      </c>
      <c r="X51" s="152" t="str" cm="1">
        <f t="array" ref="X5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1" s="193"/>
      <c r="Z51" s="110" t="e">
        <f>IF(Attacker_Threat_Zone[[#This Row],[Relevance]]="No"," ",MAX(VLOOKUP(Attacker_Threat_Zone[[#This Row],[Risk
C]],SL_Mapping[],2,FALSE),0))</f>
        <v>#VALUE!</v>
      </c>
      <c r="AA51" s="110" t="e">
        <f>IF(Attacker_Threat_Zone[[#This Row],[Relevance]]="No"," ",MAX(VLOOKUP(Attacker_Threat_Zone[[#This Row],[Risk
I]],SL_Mapping[],2,FALSE),0))</f>
        <v>#VALUE!</v>
      </c>
      <c r="AB51" s="110" t="e">
        <f>IF(Attacker_Threat_Zone[[#This Row],[Relevance]]="No"," ",MAX(VLOOKUP(Attacker_Threat_Zone[[#This Row],[Risk
A]],SL_Mapping[],2,FALSE),0))</f>
        <v>#VALUE!</v>
      </c>
      <c r="AC51" s="108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1" s="108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1" s="108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1" s="108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1" s="108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1" s="108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1" s="108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2" spans="1:35">
      <c r="A52" s="35" t="s">
        <v>132</v>
      </c>
      <c r="B52" s="163" t="s">
        <v>95</v>
      </c>
      <c r="C52" s="163" t="s">
        <v>95</v>
      </c>
      <c r="D52" s="163" t="s">
        <v>9</v>
      </c>
      <c r="E52" s="163" t="s">
        <v>9</v>
      </c>
      <c r="F52" s="163" t="s">
        <v>9</v>
      </c>
      <c r="G52" s="163" t="s">
        <v>9</v>
      </c>
      <c r="H52" s="163" t="s">
        <v>9</v>
      </c>
      <c r="I52" s="164"/>
      <c r="J52" s="196"/>
      <c r="K52" s="165"/>
      <c r="L52" s="165"/>
      <c r="M5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2" s="165"/>
      <c r="O52" s="165"/>
      <c r="P52" s="165"/>
      <c r="Q52" s="133">
        <f>IFERROR(VLOOKUP(Attacker_Threat_Zone[[#This Row],[Impact
C]],Impact_Mapping[],2,FALSE),0)</f>
        <v>0</v>
      </c>
      <c r="R52" s="133">
        <f>IFERROR(VLOOKUP(Attacker_Threat_Zone[[#This Row],[Impact
I]],Impact_Mapping[],2,FALSE),0)</f>
        <v>0</v>
      </c>
      <c r="S52" s="133">
        <f>IFERROR(VLOOKUP(Attacker_Threat_Zone[[#This Row],[Impact
A]],Impact_Mapping[],2,FALSE),0)</f>
        <v>0</v>
      </c>
      <c r="T5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2" s="111" t="e" cm="1">
        <f t="array" ref="U52">INDEX(Risk!$C$4:$F$8,Attacker_Threat_Zone[[#This Row],[Likelihood]],VLOOKUP(Attacker_Threat_Zone[[#This Row],[Impact
C]],Impact_Mapping[],2,FALSE))</f>
        <v>#VALUE!</v>
      </c>
      <c r="V52" s="111" t="e" cm="1">
        <f t="array" ref="V52">INDEX(Risk!$C$4:$F$8,Attacker_Threat_Zone[[#This Row],[Likelihood]],VLOOKUP(Attacker_Threat_Zone[[#This Row],[Impact
I]],Impact_Mapping[],2,FALSE))</f>
        <v>#VALUE!</v>
      </c>
      <c r="W52" s="111" t="e" cm="1">
        <f t="array" ref="W52">INDEX(Risk!$C$4:$F$8,Attacker_Threat_Zone[[#This Row],[Likelihood]],VLOOKUP(Attacker_Threat_Zone[[#This Row],[Impact
A]],Impact_Mapping[],2,FALSE))</f>
        <v>#VALUE!</v>
      </c>
      <c r="X52" s="152" t="str" cm="1">
        <f t="array" ref="X5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2" s="193"/>
      <c r="Z52" s="110" t="e">
        <f>IF(Attacker_Threat_Zone[[#This Row],[Relevance]]="No"," ",MAX(VLOOKUP(Attacker_Threat_Zone[[#This Row],[Risk
C]],SL_Mapping[],2,FALSE),0))</f>
        <v>#VALUE!</v>
      </c>
      <c r="AA52" s="110" t="e">
        <f>IF(Attacker_Threat_Zone[[#This Row],[Relevance]]="No"," ",MAX(VLOOKUP(Attacker_Threat_Zone[[#This Row],[Risk
I]],SL_Mapping[],2,FALSE),0))</f>
        <v>#VALUE!</v>
      </c>
      <c r="AB52" s="110" t="e">
        <f>IF(Attacker_Threat_Zone[[#This Row],[Relevance]]="No"," ",MAX(VLOOKUP(Attacker_Threat_Zone[[#This Row],[Risk
A]],SL_Mapping[],2,FALSE),0))</f>
        <v>#VALUE!</v>
      </c>
      <c r="AC5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3" spans="1:35">
      <c r="A53" s="35" t="s">
        <v>133</v>
      </c>
      <c r="B53" s="163" t="s">
        <v>9</v>
      </c>
      <c r="C53" s="163" t="s">
        <v>9</v>
      </c>
      <c r="D53" s="163" t="s">
        <v>9</v>
      </c>
      <c r="E53" s="163" t="s">
        <v>9</v>
      </c>
      <c r="F53" s="163" t="s">
        <v>95</v>
      </c>
      <c r="G53" s="163" t="s">
        <v>96</v>
      </c>
      <c r="H53" s="163" t="s">
        <v>9</v>
      </c>
      <c r="I53" s="164"/>
      <c r="J53" s="196"/>
      <c r="K53" s="165"/>
      <c r="L53" s="165"/>
      <c r="M5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3" s="165"/>
      <c r="O53" s="165"/>
      <c r="P53" s="165"/>
      <c r="Q53" s="133">
        <f>IFERROR(VLOOKUP(Attacker_Threat_Zone[[#This Row],[Impact
C]],Impact_Mapping[],2,FALSE),0)</f>
        <v>0</v>
      </c>
      <c r="R53" s="133">
        <f>IFERROR(VLOOKUP(Attacker_Threat_Zone[[#This Row],[Impact
I]],Impact_Mapping[],2,FALSE),0)</f>
        <v>0</v>
      </c>
      <c r="S53" s="133">
        <f>IFERROR(VLOOKUP(Attacker_Threat_Zone[[#This Row],[Impact
A]],Impact_Mapping[],2,FALSE),0)</f>
        <v>0</v>
      </c>
      <c r="T5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3" s="111" t="e" cm="1">
        <f t="array" ref="U53">INDEX(Risk!$C$4:$F$8,Attacker_Threat_Zone[[#This Row],[Likelihood]],VLOOKUP(Attacker_Threat_Zone[[#This Row],[Impact
C]],Impact_Mapping[],2,FALSE))</f>
        <v>#VALUE!</v>
      </c>
      <c r="V53" s="111" t="e" cm="1">
        <f t="array" ref="V53">INDEX(Risk!$C$4:$F$8,Attacker_Threat_Zone[[#This Row],[Likelihood]],VLOOKUP(Attacker_Threat_Zone[[#This Row],[Impact
I]],Impact_Mapping[],2,FALSE))</f>
        <v>#VALUE!</v>
      </c>
      <c r="W53" s="111" t="e" cm="1">
        <f t="array" ref="W53">INDEX(Risk!$C$4:$F$8,Attacker_Threat_Zone[[#This Row],[Likelihood]],VLOOKUP(Attacker_Threat_Zone[[#This Row],[Impact
A]],Impact_Mapping[],2,FALSE))</f>
        <v>#VALUE!</v>
      </c>
      <c r="X53" s="152" t="str" cm="1">
        <f t="array" ref="X5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3" s="193"/>
      <c r="Z53" s="110" t="e">
        <f>IF(Attacker_Threat_Zone[[#This Row],[Relevance]]="No"," ",MAX(VLOOKUP(Attacker_Threat_Zone[[#This Row],[Risk
C]],SL_Mapping[],2,FALSE),0))</f>
        <v>#VALUE!</v>
      </c>
      <c r="AA53" s="110" t="e">
        <f>IF(Attacker_Threat_Zone[[#This Row],[Relevance]]="No"," ",MAX(VLOOKUP(Attacker_Threat_Zone[[#This Row],[Risk
I]],SL_Mapping[],2,FALSE),0))</f>
        <v>#VALUE!</v>
      </c>
      <c r="AB53" s="110" t="e">
        <f>IF(Attacker_Threat_Zone[[#This Row],[Relevance]]="No"," ",MAX(VLOOKUP(Attacker_Threat_Zone[[#This Row],[Risk
A]],SL_Mapping[],2,FALSE),0))</f>
        <v>#VALUE!</v>
      </c>
      <c r="AC5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4" spans="1:35">
      <c r="A54" s="35" t="s">
        <v>134</v>
      </c>
      <c r="B54" s="163" t="s">
        <v>9</v>
      </c>
      <c r="C54" s="163" t="s">
        <v>9</v>
      </c>
      <c r="D54" s="163" t="s">
        <v>9</v>
      </c>
      <c r="E54" s="163" t="s">
        <v>9</v>
      </c>
      <c r="F54" s="163" t="s">
        <v>95</v>
      </c>
      <c r="G54" s="163" t="s">
        <v>96</v>
      </c>
      <c r="H54" s="163" t="s">
        <v>9</v>
      </c>
      <c r="I54" s="164"/>
      <c r="J54" s="196"/>
      <c r="K54" s="165"/>
      <c r="L54" s="165"/>
      <c r="M5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4" s="165"/>
      <c r="O54" s="165"/>
      <c r="P54" s="165"/>
      <c r="Q54" s="133">
        <f>IFERROR(VLOOKUP(Attacker_Threat_Zone[[#This Row],[Impact
C]],Impact_Mapping[],2,FALSE),0)</f>
        <v>0</v>
      </c>
      <c r="R54" s="133">
        <f>IFERROR(VLOOKUP(Attacker_Threat_Zone[[#This Row],[Impact
I]],Impact_Mapping[],2,FALSE),0)</f>
        <v>0</v>
      </c>
      <c r="S54" s="133">
        <f>IFERROR(VLOOKUP(Attacker_Threat_Zone[[#This Row],[Impact
A]],Impact_Mapping[],2,FALSE),0)</f>
        <v>0</v>
      </c>
      <c r="T5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4" s="111" t="e" cm="1">
        <f t="array" ref="U54">INDEX(Risk!$C$4:$F$8,Attacker_Threat_Zone[[#This Row],[Likelihood]],VLOOKUP(Attacker_Threat_Zone[[#This Row],[Impact
C]],Impact_Mapping[],2,FALSE))</f>
        <v>#VALUE!</v>
      </c>
      <c r="V54" s="111" t="e" cm="1">
        <f t="array" ref="V54">INDEX(Risk!$C$4:$F$8,Attacker_Threat_Zone[[#This Row],[Likelihood]],VLOOKUP(Attacker_Threat_Zone[[#This Row],[Impact
I]],Impact_Mapping[],2,FALSE))</f>
        <v>#VALUE!</v>
      </c>
      <c r="W54" s="111" t="e" cm="1">
        <f t="array" ref="W54">INDEX(Risk!$C$4:$F$8,Attacker_Threat_Zone[[#This Row],[Likelihood]],VLOOKUP(Attacker_Threat_Zone[[#This Row],[Impact
A]],Impact_Mapping[],2,FALSE))</f>
        <v>#VALUE!</v>
      </c>
      <c r="X54" s="152" t="str" cm="1">
        <f t="array" ref="X5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4" s="193"/>
      <c r="Z54" s="110" t="e">
        <f>IF(Attacker_Threat_Zone[[#This Row],[Relevance]]="No"," ",MAX(VLOOKUP(Attacker_Threat_Zone[[#This Row],[Risk
C]],SL_Mapping[],2,FALSE),0))</f>
        <v>#VALUE!</v>
      </c>
      <c r="AA54" s="110" t="e">
        <f>IF(Attacker_Threat_Zone[[#This Row],[Relevance]]="No"," ",MAX(VLOOKUP(Attacker_Threat_Zone[[#This Row],[Risk
I]],SL_Mapping[],2,FALSE),0))</f>
        <v>#VALUE!</v>
      </c>
      <c r="AB54" s="110" t="e">
        <f>IF(Attacker_Threat_Zone[[#This Row],[Relevance]]="No"," ",MAX(VLOOKUP(Attacker_Threat_Zone[[#This Row],[Risk
A]],SL_Mapping[],2,FALSE),0))</f>
        <v>#VALUE!</v>
      </c>
      <c r="AC54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4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4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4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4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4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4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5" spans="1:35">
      <c r="A55" s="35" t="s">
        <v>135</v>
      </c>
      <c r="B55" s="163" t="s">
        <v>9</v>
      </c>
      <c r="C55" s="163" t="s">
        <v>9</v>
      </c>
      <c r="D55" s="163" t="s">
        <v>9</v>
      </c>
      <c r="E55" s="163" t="s">
        <v>9</v>
      </c>
      <c r="F55" s="163" t="s">
        <v>95</v>
      </c>
      <c r="G55" s="163" t="s">
        <v>96</v>
      </c>
      <c r="H55" s="163" t="s">
        <v>9</v>
      </c>
      <c r="I55" s="164"/>
      <c r="J55" s="196"/>
      <c r="K55" s="165"/>
      <c r="L55" s="165"/>
      <c r="M55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5" s="165"/>
      <c r="O55" s="165"/>
      <c r="P55" s="165"/>
      <c r="Q55" s="133">
        <f>IFERROR(VLOOKUP(Attacker_Threat_Zone[[#This Row],[Impact
C]],Impact_Mapping[],2,FALSE),0)</f>
        <v>0</v>
      </c>
      <c r="R55" s="133">
        <f>IFERROR(VLOOKUP(Attacker_Threat_Zone[[#This Row],[Impact
I]],Impact_Mapping[],2,FALSE),0)</f>
        <v>0</v>
      </c>
      <c r="S55" s="133">
        <f>IFERROR(VLOOKUP(Attacker_Threat_Zone[[#This Row],[Impact
A]],Impact_Mapping[],2,FALSE),0)</f>
        <v>0</v>
      </c>
      <c r="T55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5" s="111" t="e" cm="1">
        <f t="array" ref="U55">INDEX(Risk!$C$4:$F$8,Attacker_Threat_Zone[[#This Row],[Likelihood]],VLOOKUP(Attacker_Threat_Zone[[#This Row],[Impact
C]],Impact_Mapping[],2,FALSE))</f>
        <v>#VALUE!</v>
      </c>
      <c r="V55" s="111" t="e" cm="1">
        <f t="array" ref="V55">INDEX(Risk!$C$4:$F$8,Attacker_Threat_Zone[[#This Row],[Likelihood]],VLOOKUP(Attacker_Threat_Zone[[#This Row],[Impact
I]],Impact_Mapping[],2,FALSE))</f>
        <v>#VALUE!</v>
      </c>
      <c r="W55" s="111" t="e" cm="1">
        <f t="array" ref="W55">INDEX(Risk!$C$4:$F$8,Attacker_Threat_Zone[[#This Row],[Likelihood]],VLOOKUP(Attacker_Threat_Zone[[#This Row],[Impact
A]],Impact_Mapping[],2,FALSE))</f>
        <v>#VALUE!</v>
      </c>
      <c r="X55" s="152" t="str" cm="1">
        <f t="array" ref="X55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5" s="193"/>
      <c r="Z55" s="110" t="e">
        <f>IF(Attacker_Threat_Zone[[#This Row],[Relevance]]="No"," ",MAX(VLOOKUP(Attacker_Threat_Zone[[#This Row],[Risk
C]],SL_Mapping[],2,FALSE),0))</f>
        <v>#VALUE!</v>
      </c>
      <c r="AA55" s="110" t="e">
        <f>IF(Attacker_Threat_Zone[[#This Row],[Relevance]]="No"," ",MAX(VLOOKUP(Attacker_Threat_Zone[[#This Row],[Risk
I]],SL_Mapping[],2,FALSE),0))</f>
        <v>#VALUE!</v>
      </c>
      <c r="AB55" s="110" t="e">
        <f>IF(Attacker_Threat_Zone[[#This Row],[Relevance]]="No"," ",MAX(VLOOKUP(Attacker_Threat_Zone[[#This Row],[Risk
A]],SL_Mapping[],2,FALSE),0))</f>
        <v>#VALUE!</v>
      </c>
      <c r="AC55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5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5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5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5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5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5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6" spans="1:35">
      <c r="A56" s="35" t="s">
        <v>136</v>
      </c>
      <c r="B56" s="163" t="s">
        <v>9</v>
      </c>
      <c r="C56" s="163" t="s">
        <v>9</v>
      </c>
      <c r="D56" s="163" t="s">
        <v>9</v>
      </c>
      <c r="E56" s="163" t="s">
        <v>9</v>
      </c>
      <c r="F56" s="163" t="s">
        <v>95</v>
      </c>
      <c r="G56" s="163" t="s">
        <v>96</v>
      </c>
      <c r="H56" s="163" t="s">
        <v>9</v>
      </c>
      <c r="I56" s="164"/>
      <c r="J56" s="196"/>
      <c r="K56" s="165"/>
      <c r="L56" s="165"/>
      <c r="M56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6" s="165"/>
      <c r="O56" s="165"/>
      <c r="P56" s="165"/>
      <c r="Q56" s="133">
        <f>IFERROR(VLOOKUP(Attacker_Threat_Zone[[#This Row],[Impact
C]],Impact_Mapping[],2,FALSE),0)</f>
        <v>0</v>
      </c>
      <c r="R56" s="133">
        <f>IFERROR(VLOOKUP(Attacker_Threat_Zone[[#This Row],[Impact
I]],Impact_Mapping[],2,FALSE),0)</f>
        <v>0</v>
      </c>
      <c r="S56" s="133">
        <f>IFERROR(VLOOKUP(Attacker_Threat_Zone[[#This Row],[Impact
A]],Impact_Mapping[],2,FALSE),0)</f>
        <v>0</v>
      </c>
      <c r="T56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6" s="111" t="e" cm="1">
        <f t="array" ref="U56">INDEX(Risk!$C$4:$F$8,Attacker_Threat_Zone[[#This Row],[Likelihood]],VLOOKUP(Attacker_Threat_Zone[[#This Row],[Impact
C]],Impact_Mapping[],2,FALSE))</f>
        <v>#VALUE!</v>
      </c>
      <c r="V56" s="111" t="e" cm="1">
        <f t="array" ref="V56">INDEX(Risk!$C$4:$F$8,Attacker_Threat_Zone[[#This Row],[Likelihood]],VLOOKUP(Attacker_Threat_Zone[[#This Row],[Impact
I]],Impact_Mapping[],2,FALSE))</f>
        <v>#VALUE!</v>
      </c>
      <c r="W56" s="111" t="e" cm="1">
        <f t="array" ref="W56">INDEX(Risk!$C$4:$F$8,Attacker_Threat_Zone[[#This Row],[Likelihood]],VLOOKUP(Attacker_Threat_Zone[[#This Row],[Impact
A]],Impact_Mapping[],2,FALSE))</f>
        <v>#VALUE!</v>
      </c>
      <c r="X56" s="152" t="str" cm="1">
        <f t="array" ref="X56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6" s="193"/>
      <c r="Z56" s="110" t="e">
        <f>IF(Attacker_Threat_Zone[[#This Row],[Relevance]]="No"," ",MAX(VLOOKUP(Attacker_Threat_Zone[[#This Row],[Risk
C]],SL_Mapping[],2,FALSE),0))</f>
        <v>#VALUE!</v>
      </c>
      <c r="AA56" s="110" t="e">
        <f>IF(Attacker_Threat_Zone[[#This Row],[Relevance]]="No"," ",MAX(VLOOKUP(Attacker_Threat_Zone[[#This Row],[Risk
I]],SL_Mapping[],2,FALSE),0))</f>
        <v>#VALUE!</v>
      </c>
      <c r="AB56" s="110" t="e">
        <f>IF(Attacker_Threat_Zone[[#This Row],[Relevance]]="No"," ",MAX(VLOOKUP(Attacker_Threat_Zone[[#This Row],[Risk
A]],SL_Mapping[],2,FALSE),0))</f>
        <v>#VALUE!</v>
      </c>
      <c r="AC56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6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6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6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6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6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6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7" spans="1:35">
      <c r="A57" s="35" t="s">
        <v>137</v>
      </c>
      <c r="B57" s="163" t="s">
        <v>95</v>
      </c>
      <c r="C57" s="163" t="s">
        <v>95</v>
      </c>
      <c r="D57" s="163" t="s">
        <v>93</v>
      </c>
      <c r="E57" s="163" t="s">
        <v>81</v>
      </c>
      <c r="F57" s="163" t="s">
        <v>9</v>
      </c>
      <c r="G57" s="163" t="s">
        <v>9</v>
      </c>
      <c r="H57" s="163" t="s">
        <v>9</v>
      </c>
      <c r="I57" s="164"/>
      <c r="J57" s="196"/>
      <c r="K57" s="165"/>
      <c r="L57" s="165"/>
      <c r="M57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7" s="165"/>
      <c r="O57" s="165"/>
      <c r="P57" s="165"/>
      <c r="Q57" s="133">
        <f>IFERROR(VLOOKUP(Attacker_Threat_Zone[[#This Row],[Impact
C]],Impact_Mapping[],2,FALSE),0)</f>
        <v>0</v>
      </c>
      <c r="R57" s="133">
        <f>IFERROR(VLOOKUP(Attacker_Threat_Zone[[#This Row],[Impact
I]],Impact_Mapping[],2,FALSE),0)</f>
        <v>0</v>
      </c>
      <c r="S57" s="133">
        <f>IFERROR(VLOOKUP(Attacker_Threat_Zone[[#This Row],[Impact
A]],Impact_Mapping[],2,FALSE),0)</f>
        <v>0</v>
      </c>
      <c r="T57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7" s="111" t="e" cm="1">
        <f t="array" ref="U57">INDEX(Risk!$C$4:$F$8,Attacker_Threat_Zone[[#This Row],[Likelihood]],VLOOKUP(Attacker_Threat_Zone[[#This Row],[Impact
C]],Impact_Mapping[],2,FALSE))</f>
        <v>#VALUE!</v>
      </c>
      <c r="V57" s="111" t="e" cm="1">
        <f t="array" ref="V57">INDEX(Risk!$C$4:$F$8,Attacker_Threat_Zone[[#This Row],[Likelihood]],VLOOKUP(Attacker_Threat_Zone[[#This Row],[Impact
I]],Impact_Mapping[],2,FALSE))</f>
        <v>#VALUE!</v>
      </c>
      <c r="W57" s="111" t="e" cm="1">
        <f t="array" ref="W57">INDEX(Risk!$C$4:$F$8,Attacker_Threat_Zone[[#This Row],[Likelihood]],VLOOKUP(Attacker_Threat_Zone[[#This Row],[Impact
A]],Impact_Mapping[],2,FALSE))</f>
        <v>#VALUE!</v>
      </c>
      <c r="X57" s="152" t="str" cm="1">
        <f t="array" ref="X57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7" s="193"/>
      <c r="Z57" s="110" t="e">
        <f>IF(Attacker_Threat_Zone[[#This Row],[Relevance]]="No"," ",MAX(VLOOKUP(Attacker_Threat_Zone[[#This Row],[Risk
C]],SL_Mapping[],2,FALSE),0))</f>
        <v>#VALUE!</v>
      </c>
      <c r="AA57" s="110" t="e">
        <f>IF(Attacker_Threat_Zone[[#This Row],[Relevance]]="No"," ",MAX(VLOOKUP(Attacker_Threat_Zone[[#This Row],[Risk
I]],SL_Mapping[],2,FALSE),0))</f>
        <v>#VALUE!</v>
      </c>
      <c r="AB57" s="110" t="e">
        <f>IF(Attacker_Threat_Zone[[#This Row],[Relevance]]="No"," ",MAX(VLOOKUP(Attacker_Threat_Zone[[#This Row],[Risk
A]],SL_Mapping[],2,FALSE),0))</f>
        <v>#VALUE!</v>
      </c>
      <c r="AC57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7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7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7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7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7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7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8" spans="1:35">
      <c r="A58" s="35" t="s">
        <v>138</v>
      </c>
      <c r="B58" s="163" t="s">
        <v>95</v>
      </c>
      <c r="C58" s="163" t="s">
        <v>95</v>
      </c>
      <c r="D58" s="163" t="s">
        <v>93</v>
      </c>
      <c r="E58" s="163" t="s">
        <v>81</v>
      </c>
      <c r="F58" s="163" t="s">
        <v>9</v>
      </c>
      <c r="G58" s="163" t="s">
        <v>9</v>
      </c>
      <c r="H58" s="163" t="s">
        <v>9</v>
      </c>
      <c r="I58" s="164"/>
      <c r="J58" s="196"/>
      <c r="K58" s="165"/>
      <c r="L58" s="165"/>
      <c r="M58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8" s="165"/>
      <c r="O58" s="165"/>
      <c r="P58" s="165"/>
      <c r="Q58" s="133">
        <f>IFERROR(VLOOKUP(Attacker_Threat_Zone[[#This Row],[Impact
C]],Impact_Mapping[],2,FALSE),0)</f>
        <v>0</v>
      </c>
      <c r="R58" s="133">
        <f>IFERROR(VLOOKUP(Attacker_Threat_Zone[[#This Row],[Impact
I]],Impact_Mapping[],2,FALSE),0)</f>
        <v>0</v>
      </c>
      <c r="S58" s="133">
        <f>IFERROR(VLOOKUP(Attacker_Threat_Zone[[#This Row],[Impact
A]],Impact_Mapping[],2,FALSE),0)</f>
        <v>0</v>
      </c>
      <c r="T58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8" s="111" t="e" cm="1">
        <f t="array" ref="U58">INDEX(Risk!$C$4:$F$8,Attacker_Threat_Zone[[#This Row],[Likelihood]],VLOOKUP(Attacker_Threat_Zone[[#This Row],[Impact
C]],Impact_Mapping[],2,FALSE))</f>
        <v>#VALUE!</v>
      </c>
      <c r="V58" s="111" t="e" cm="1">
        <f t="array" ref="V58">INDEX(Risk!$C$4:$F$8,Attacker_Threat_Zone[[#This Row],[Likelihood]],VLOOKUP(Attacker_Threat_Zone[[#This Row],[Impact
I]],Impact_Mapping[],2,FALSE))</f>
        <v>#VALUE!</v>
      </c>
      <c r="W58" s="111" t="e" cm="1">
        <f t="array" ref="W58">INDEX(Risk!$C$4:$F$8,Attacker_Threat_Zone[[#This Row],[Likelihood]],VLOOKUP(Attacker_Threat_Zone[[#This Row],[Impact
A]],Impact_Mapping[],2,FALSE))</f>
        <v>#VALUE!</v>
      </c>
      <c r="X58" s="152" t="str" cm="1">
        <f t="array" ref="X58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8" s="193"/>
      <c r="Z58" s="110" t="e">
        <f>IF(Attacker_Threat_Zone[[#This Row],[Relevance]]="No"," ",MAX(VLOOKUP(Attacker_Threat_Zone[[#This Row],[Risk
C]],SL_Mapping[],2,FALSE),0))</f>
        <v>#VALUE!</v>
      </c>
      <c r="AA58" s="110" t="e">
        <f>IF(Attacker_Threat_Zone[[#This Row],[Relevance]]="No"," ",MAX(VLOOKUP(Attacker_Threat_Zone[[#This Row],[Risk
I]],SL_Mapping[],2,FALSE),0))</f>
        <v>#VALUE!</v>
      </c>
      <c r="AB58" s="110" t="e">
        <f>IF(Attacker_Threat_Zone[[#This Row],[Relevance]]="No"," ",MAX(VLOOKUP(Attacker_Threat_Zone[[#This Row],[Risk
A]],SL_Mapping[],2,FALSE),0))</f>
        <v>#VALUE!</v>
      </c>
      <c r="AC58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8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8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8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8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8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8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59" spans="1:35">
      <c r="A59" s="35" t="s">
        <v>139</v>
      </c>
      <c r="B59" s="163" t="s">
        <v>95</v>
      </c>
      <c r="C59" s="163" t="s">
        <v>95</v>
      </c>
      <c r="D59" s="163" t="s">
        <v>93</v>
      </c>
      <c r="E59" s="163" t="s">
        <v>81</v>
      </c>
      <c r="F59" s="163" t="s">
        <v>9</v>
      </c>
      <c r="G59" s="163" t="s">
        <v>9</v>
      </c>
      <c r="H59" s="163" t="s">
        <v>9</v>
      </c>
      <c r="I59" s="164"/>
      <c r="J59" s="196"/>
      <c r="K59" s="165"/>
      <c r="L59" s="165"/>
      <c r="M59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59" s="165"/>
      <c r="O59" s="165"/>
      <c r="P59" s="165"/>
      <c r="Q59" s="133">
        <f>IFERROR(VLOOKUP(Attacker_Threat_Zone[[#This Row],[Impact
C]],Impact_Mapping[],2,FALSE),0)</f>
        <v>0</v>
      </c>
      <c r="R59" s="133">
        <f>IFERROR(VLOOKUP(Attacker_Threat_Zone[[#This Row],[Impact
I]],Impact_Mapping[],2,FALSE),0)</f>
        <v>0</v>
      </c>
      <c r="S59" s="133">
        <f>IFERROR(VLOOKUP(Attacker_Threat_Zone[[#This Row],[Impact
A]],Impact_Mapping[],2,FALSE),0)</f>
        <v>0</v>
      </c>
      <c r="T59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59" s="111" t="e" cm="1">
        <f t="array" ref="U59">INDEX(Risk!$C$4:$F$8,Attacker_Threat_Zone[[#This Row],[Likelihood]],VLOOKUP(Attacker_Threat_Zone[[#This Row],[Impact
C]],Impact_Mapping[],2,FALSE))</f>
        <v>#VALUE!</v>
      </c>
      <c r="V59" s="111" t="e" cm="1">
        <f t="array" ref="V59">INDEX(Risk!$C$4:$F$8,Attacker_Threat_Zone[[#This Row],[Likelihood]],VLOOKUP(Attacker_Threat_Zone[[#This Row],[Impact
I]],Impact_Mapping[],2,FALSE))</f>
        <v>#VALUE!</v>
      </c>
      <c r="W59" s="111" t="e" cm="1">
        <f t="array" ref="W59">INDEX(Risk!$C$4:$F$8,Attacker_Threat_Zone[[#This Row],[Likelihood]],VLOOKUP(Attacker_Threat_Zone[[#This Row],[Impact
A]],Impact_Mapping[],2,FALSE))</f>
        <v>#VALUE!</v>
      </c>
      <c r="X59" s="152" t="str" cm="1">
        <f t="array" ref="X59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59" s="193"/>
      <c r="Z59" s="110" t="e">
        <f>IF(Attacker_Threat_Zone[[#This Row],[Relevance]]="No"," ",MAX(VLOOKUP(Attacker_Threat_Zone[[#This Row],[Risk
C]],SL_Mapping[],2,FALSE),0))</f>
        <v>#VALUE!</v>
      </c>
      <c r="AA59" s="110" t="e">
        <f>IF(Attacker_Threat_Zone[[#This Row],[Relevance]]="No"," ",MAX(VLOOKUP(Attacker_Threat_Zone[[#This Row],[Risk
I]],SL_Mapping[],2,FALSE),0))</f>
        <v>#VALUE!</v>
      </c>
      <c r="AB59" s="110" t="e">
        <f>IF(Attacker_Threat_Zone[[#This Row],[Relevance]]="No"," ",MAX(VLOOKUP(Attacker_Threat_Zone[[#This Row],[Risk
A]],SL_Mapping[],2,FALSE),0))</f>
        <v>#VALUE!</v>
      </c>
      <c r="AC59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59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59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59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59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59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59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0" spans="1:35">
      <c r="A60" s="35" t="s">
        <v>140</v>
      </c>
      <c r="B60" s="163" t="s">
        <v>9</v>
      </c>
      <c r="C60" s="163" t="s">
        <v>9</v>
      </c>
      <c r="D60" s="163" t="s">
        <v>9</v>
      </c>
      <c r="E60" s="163" t="s">
        <v>9</v>
      </c>
      <c r="F60" s="163" t="s">
        <v>9</v>
      </c>
      <c r="G60" s="163" t="s">
        <v>9</v>
      </c>
      <c r="H60" s="163" t="s">
        <v>82</v>
      </c>
      <c r="I60" s="164"/>
      <c r="J60" s="196"/>
      <c r="K60" s="165"/>
      <c r="L60" s="165"/>
      <c r="M60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60" s="165"/>
      <c r="O60" s="165"/>
      <c r="P60" s="165"/>
      <c r="Q60" s="133">
        <f>IFERROR(VLOOKUP(Attacker_Threat_Zone[[#This Row],[Impact
C]],Impact_Mapping[],2,FALSE),0)</f>
        <v>0</v>
      </c>
      <c r="R60" s="133">
        <f>IFERROR(VLOOKUP(Attacker_Threat_Zone[[#This Row],[Impact
I]],Impact_Mapping[],2,FALSE),0)</f>
        <v>0</v>
      </c>
      <c r="S60" s="133">
        <f>IFERROR(VLOOKUP(Attacker_Threat_Zone[[#This Row],[Impact
A]],Impact_Mapping[],2,FALSE),0)</f>
        <v>0</v>
      </c>
      <c r="T60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60" s="111" t="e" cm="1">
        <f t="array" ref="U60">INDEX(Risk!$C$4:$F$8,Attacker_Threat_Zone[[#This Row],[Likelihood]],VLOOKUP(Attacker_Threat_Zone[[#This Row],[Impact
C]],Impact_Mapping[],2,FALSE))</f>
        <v>#VALUE!</v>
      </c>
      <c r="V60" s="111" t="e" cm="1">
        <f t="array" ref="V60">INDEX(Risk!$C$4:$F$8,Attacker_Threat_Zone[[#This Row],[Likelihood]],VLOOKUP(Attacker_Threat_Zone[[#This Row],[Impact
I]],Impact_Mapping[],2,FALSE))</f>
        <v>#VALUE!</v>
      </c>
      <c r="W60" s="111" t="e" cm="1">
        <f t="array" ref="W60">INDEX(Risk!$C$4:$F$8,Attacker_Threat_Zone[[#This Row],[Likelihood]],VLOOKUP(Attacker_Threat_Zone[[#This Row],[Impact
A]],Impact_Mapping[],2,FALSE))</f>
        <v>#VALUE!</v>
      </c>
      <c r="X60" s="152" t="str" cm="1">
        <f t="array" ref="X60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60" s="193"/>
      <c r="Z60" s="110" t="e">
        <f>IF(Attacker_Threat_Zone[[#This Row],[Relevance]]="No"," ",MAX(VLOOKUP(Attacker_Threat_Zone[[#This Row],[Risk
C]],SL_Mapping[],2,FALSE),0))</f>
        <v>#VALUE!</v>
      </c>
      <c r="AA60" s="110" t="e">
        <f>IF(Attacker_Threat_Zone[[#This Row],[Relevance]]="No"," ",MAX(VLOOKUP(Attacker_Threat_Zone[[#This Row],[Risk
I]],SL_Mapping[],2,FALSE),0))</f>
        <v>#VALUE!</v>
      </c>
      <c r="AB60" s="110" t="e">
        <f>IF(Attacker_Threat_Zone[[#This Row],[Relevance]]="No"," ",MAX(VLOOKUP(Attacker_Threat_Zone[[#This Row],[Risk
A]],SL_Mapping[],2,FALSE),0))</f>
        <v>#VALUE!</v>
      </c>
      <c r="AC60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60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60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0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60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60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0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1" spans="1:35">
      <c r="A61" s="35" t="s">
        <v>141</v>
      </c>
      <c r="B61" s="163" t="s">
        <v>9</v>
      </c>
      <c r="C61" s="163" t="s">
        <v>9</v>
      </c>
      <c r="D61" s="163" t="s">
        <v>9</v>
      </c>
      <c r="E61" s="163" t="s">
        <v>9</v>
      </c>
      <c r="F61" s="163" t="s">
        <v>9</v>
      </c>
      <c r="G61" s="163" t="s">
        <v>9</v>
      </c>
      <c r="H61" s="163" t="s">
        <v>82</v>
      </c>
      <c r="I61" s="164"/>
      <c r="J61" s="196"/>
      <c r="K61" s="165"/>
      <c r="L61" s="165"/>
      <c r="M61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61" s="165"/>
      <c r="O61" s="165"/>
      <c r="P61" s="165"/>
      <c r="Q61" s="133">
        <f>IFERROR(VLOOKUP(Attacker_Threat_Zone[[#This Row],[Impact
C]],Impact_Mapping[],2,FALSE),0)</f>
        <v>0</v>
      </c>
      <c r="R61" s="133">
        <f>IFERROR(VLOOKUP(Attacker_Threat_Zone[[#This Row],[Impact
I]],Impact_Mapping[],2,FALSE),0)</f>
        <v>0</v>
      </c>
      <c r="S61" s="133">
        <f>IFERROR(VLOOKUP(Attacker_Threat_Zone[[#This Row],[Impact
A]],Impact_Mapping[],2,FALSE),0)</f>
        <v>0</v>
      </c>
      <c r="T61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61" s="111" t="e" cm="1">
        <f t="array" ref="U61">INDEX(Risk!$C$4:$F$8,Attacker_Threat_Zone[[#This Row],[Likelihood]],VLOOKUP(Attacker_Threat_Zone[[#This Row],[Impact
C]],Impact_Mapping[],2,FALSE))</f>
        <v>#VALUE!</v>
      </c>
      <c r="V61" s="111" t="e" cm="1">
        <f t="array" ref="V61">INDEX(Risk!$C$4:$F$8,Attacker_Threat_Zone[[#This Row],[Likelihood]],VLOOKUP(Attacker_Threat_Zone[[#This Row],[Impact
I]],Impact_Mapping[],2,FALSE))</f>
        <v>#VALUE!</v>
      </c>
      <c r="W61" s="111" t="e" cm="1">
        <f t="array" ref="W61">INDEX(Risk!$C$4:$F$8,Attacker_Threat_Zone[[#This Row],[Likelihood]],VLOOKUP(Attacker_Threat_Zone[[#This Row],[Impact
A]],Impact_Mapping[],2,FALSE))</f>
        <v>#VALUE!</v>
      </c>
      <c r="X61" s="152" t="str" cm="1">
        <f t="array" ref="X61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61" s="193"/>
      <c r="Z61" s="110" t="e">
        <f>IF(Attacker_Threat_Zone[[#This Row],[Relevance]]="No"," ",MAX(VLOOKUP(Attacker_Threat_Zone[[#This Row],[Risk
C]],SL_Mapping[],2,FALSE),0))</f>
        <v>#VALUE!</v>
      </c>
      <c r="AA61" s="110" t="e">
        <f>IF(Attacker_Threat_Zone[[#This Row],[Relevance]]="No"," ",MAX(VLOOKUP(Attacker_Threat_Zone[[#This Row],[Risk
I]],SL_Mapping[],2,FALSE),0))</f>
        <v>#VALUE!</v>
      </c>
      <c r="AB61" s="110" t="e">
        <f>IF(Attacker_Threat_Zone[[#This Row],[Relevance]]="No"," ",MAX(VLOOKUP(Attacker_Threat_Zone[[#This Row],[Risk
A]],SL_Mapping[],2,FALSE),0))</f>
        <v>#VALUE!</v>
      </c>
      <c r="AC61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61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61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1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61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61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1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2" spans="1:35">
      <c r="A62" s="35" t="s">
        <v>142</v>
      </c>
      <c r="B62" s="163" t="s">
        <v>9</v>
      </c>
      <c r="C62" s="163" t="s">
        <v>9</v>
      </c>
      <c r="D62" s="163" t="s">
        <v>93</v>
      </c>
      <c r="E62" s="163" t="s">
        <v>9</v>
      </c>
      <c r="F62" s="163" t="s">
        <v>9</v>
      </c>
      <c r="G62" s="163" t="s">
        <v>9</v>
      </c>
      <c r="H62" s="163" t="s">
        <v>9</v>
      </c>
      <c r="I62" s="164"/>
      <c r="J62" s="196"/>
      <c r="K62" s="165"/>
      <c r="L62" s="165"/>
      <c r="M62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62" s="165"/>
      <c r="O62" s="165"/>
      <c r="P62" s="165"/>
      <c r="Q62" s="133">
        <f>IFERROR(VLOOKUP(Attacker_Threat_Zone[[#This Row],[Impact
C]],Impact_Mapping[],2,FALSE),0)</f>
        <v>0</v>
      </c>
      <c r="R62" s="133">
        <f>IFERROR(VLOOKUP(Attacker_Threat_Zone[[#This Row],[Impact
I]],Impact_Mapping[],2,FALSE),0)</f>
        <v>0</v>
      </c>
      <c r="S62" s="133">
        <f>IFERROR(VLOOKUP(Attacker_Threat_Zone[[#This Row],[Impact
A]],Impact_Mapping[],2,FALSE),0)</f>
        <v>0</v>
      </c>
      <c r="T62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62" s="111" t="e" cm="1">
        <f t="array" ref="U62">INDEX(Risk!$C$4:$F$8,Attacker_Threat_Zone[[#This Row],[Likelihood]],VLOOKUP(Attacker_Threat_Zone[[#This Row],[Impact
C]],Impact_Mapping[],2,FALSE))</f>
        <v>#VALUE!</v>
      </c>
      <c r="V62" s="111" t="e" cm="1">
        <f t="array" ref="V62">INDEX(Risk!$C$4:$F$8,Attacker_Threat_Zone[[#This Row],[Likelihood]],VLOOKUP(Attacker_Threat_Zone[[#This Row],[Impact
I]],Impact_Mapping[],2,FALSE))</f>
        <v>#VALUE!</v>
      </c>
      <c r="W62" s="111" t="e" cm="1">
        <f t="array" ref="W62">INDEX(Risk!$C$4:$F$8,Attacker_Threat_Zone[[#This Row],[Likelihood]],VLOOKUP(Attacker_Threat_Zone[[#This Row],[Impact
A]],Impact_Mapping[],2,FALSE))</f>
        <v>#VALUE!</v>
      </c>
      <c r="X62" s="152" t="str" cm="1">
        <f t="array" ref="X62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62" s="193"/>
      <c r="Z62" s="110" t="e">
        <f>IF(Attacker_Threat_Zone[[#This Row],[Relevance]]="No"," ",MAX(VLOOKUP(Attacker_Threat_Zone[[#This Row],[Risk
C]],SL_Mapping[],2,FALSE),0))</f>
        <v>#VALUE!</v>
      </c>
      <c r="AA62" s="110" t="e">
        <f>IF(Attacker_Threat_Zone[[#This Row],[Relevance]]="No"," ",MAX(VLOOKUP(Attacker_Threat_Zone[[#This Row],[Risk
I]],SL_Mapping[],2,FALSE),0))</f>
        <v>#VALUE!</v>
      </c>
      <c r="AB62" s="110" t="e">
        <f>IF(Attacker_Threat_Zone[[#This Row],[Relevance]]="No"," ",MAX(VLOOKUP(Attacker_Threat_Zone[[#This Row],[Risk
A]],SL_Mapping[],2,FALSE),0))</f>
        <v>#VALUE!</v>
      </c>
      <c r="AC62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62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62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2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62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62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2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3" spans="1:35">
      <c r="A63" s="35" t="s">
        <v>143</v>
      </c>
      <c r="B63" s="163" t="s">
        <v>9</v>
      </c>
      <c r="C63" s="163" t="s">
        <v>9</v>
      </c>
      <c r="D63" s="163" t="s">
        <v>9</v>
      </c>
      <c r="E63" s="163" t="s">
        <v>9</v>
      </c>
      <c r="F63" s="163" t="s">
        <v>9</v>
      </c>
      <c r="G63" s="163" t="s">
        <v>9</v>
      </c>
      <c r="H63" s="163" t="s">
        <v>82</v>
      </c>
      <c r="I63" s="164"/>
      <c r="J63" s="196"/>
      <c r="K63" s="165"/>
      <c r="L63" s="165"/>
      <c r="M63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63" s="165"/>
      <c r="O63" s="165"/>
      <c r="P63" s="165"/>
      <c r="Q63" s="133">
        <f>IFERROR(VLOOKUP(Attacker_Threat_Zone[[#This Row],[Impact
C]],Impact_Mapping[],2,FALSE),0)</f>
        <v>0</v>
      </c>
      <c r="R63" s="133">
        <f>IFERROR(VLOOKUP(Attacker_Threat_Zone[[#This Row],[Impact
I]],Impact_Mapping[],2,FALSE),0)</f>
        <v>0</v>
      </c>
      <c r="S63" s="133">
        <f>IFERROR(VLOOKUP(Attacker_Threat_Zone[[#This Row],[Impact
A]],Impact_Mapping[],2,FALSE),0)</f>
        <v>0</v>
      </c>
      <c r="T63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63" s="111" t="e" cm="1">
        <f t="array" ref="U63">INDEX(Risk!$C$4:$F$8,Attacker_Threat_Zone[[#This Row],[Likelihood]],VLOOKUP(Attacker_Threat_Zone[[#This Row],[Impact
C]],Impact_Mapping[],2,FALSE))</f>
        <v>#VALUE!</v>
      </c>
      <c r="V63" s="111" t="e" cm="1">
        <f t="array" ref="V63">INDEX(Risk!$C$4:$F$8,Attacker_Threat_Zone[[#This Row],[Likelihood]],VLOOKUP(Attacker_Threat_Zone[[#This Row],[Impact
I]],Impact_Mapping[],2,FALSE))</f>
        <v>#VALUE!</v>
      </c>
      <c r="W63" s="111" t="e" cm="1">
        <f t="array" ref="W63">INDEX(Risk!$C$4:$F$8,Attacker_Threat_Zone[[#This Row],[Likelihood]],VLOOKUP(Attacker_Threat_Zone[[#This Row],[Impact
A]],Impact_Mapping[],2,FALSE))</f>
        <v>#VALUE!</v>
      </c>
      <c r="X63" s="152" t="str" cm="1">
        <f t="array" ref="X63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63" s="193"/>
      <c r="Z63" s="110" t="e">
        <f>IF(Attacker_Threat_Zone[[#This Row],[Relevance]]="No"," ",MAX(VLOOKUP(Attacker_Threat_Zone[[#This Row],[Risk
C]],SL_Mapping[],2,FALSE),0))</f>
        <v>#VALUE!</v>
      </c>
      <c r="AA63" s="110" t="e">
        <f>IF(Attacker_Threat_Zone[[#This Row],[Relevance]]="No"," ",MAX(VLOOKUP(Attacker_Threat_Zone[[#This Row],[Risk
I]],SL_Mapping[],2,FALSE),0))</f>
        <v>#VALUE!</v>
      </c>
      <c r="AB63" s="110" t="e">
        <f>IF(Attacker_Threat_Zone[[#This Row],[Relevance]]="No"," ",MAX(VLOOKUP(Attacker_Threat_Zone[[#This Row],[Risk
A]],SL_Mapping[],2,FALSE),0))</f>
        <v>#VALUE!</v>
      </c>
      <c r="AC63" s="10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63" s="10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63" s="10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3" s="10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63" s="10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63" s="10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3" s="10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4" spans="1:35">
      <c r="A64" s="100" t="s">
        <v>144</v>
      </c>
      <c r="B64" s="163" t="s">
        <v>95</v>
      </c>
      <c r="C64" s="163" t="s">
        <v>95</v>
      </c>
      <c r="D64" s="163" t="s">
        <v>93</v>
      </c>
      <c r="E64" s="163" t="s">
        <v>81</v>
      </c>
      <c r="F64" s="163" t="s">
        <v>95</v>
      </c>
      <c r="G64" s="163" t="s">
        <v>96</v>
      </c>
      <c r="H64" s="163" t="s">
        <v>82</v>
      </c>
      <c r="I64" s="164"/>
      <c r="J64" s="197"/>
      <c r="K64" s="165"/>
      <c r="L64" s="165"/>
      <c r="M64" s="133" t="str">
        <f>IF(AND(COUNT(Attacker_Threat_Zone[[#This Row],[Exposure]:[Vulnerability]])=2,Attacker_Threat_Zone[[#This Row],[Relevance]]="Yes"),MAX(Attacker_Threat_Zone[[#This Row],[Exposure]]+Attacker_Threat_Zone[[#This Row],[Vulnerability]]-1,1),"")</f>
        <v/>
      </c>
      <c r="N64" s="165"/>
      <c r="O64" s="165"/>
      <c r="P64" s="165"/>
      <c r="Q64" s="133">
        <f>IFERROR(VLOOKUP(Attacker_Threat_Zone[[#This Row],[Impact
C]],Impact_Mapping[],2,FALSE),0)</f>
        <v>0</v>
      </c>
      <c r="R64" s="133">
        <f>IFERROR(VLOOKUP(Attacker_Threat_Zone[[#This Row],[Impact
I]],Impact_Mapping[],2,FALSE),0)</f>
        <v>0</v>
      </c>
      <c r="S64" s="133">
        <f>IFERROR(VLOOKUP(Attacker_Threat_Zone[[#This Row],[Impact
A]],Impact_Mapping[],2,FALSE),0)</f>
        <v>0</v>
      </c>
      <c r="T64" s="133" t="str">
        <f>IF(AND(OR(Attacker_Threat_Zone[[#This Row],[Impact
C]]&lt;&gt;"",Attacker_Threat_Zone[[#This Row],[Impact
I]]&lt;&gt;"",Attacker_Threat_Zone[[#This Row],[Impact
A]]&lt;&gt;""),Attacker_Threat_Zone[[#This Row],[Relevance]]="Yes"),VLOOKUP(MAX(IFERROR(VLOOKUP(Attacker_Threat_Zone[[#This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A]],Impact_Mapping[],2,FALSE),0)),Impact_Mapping_Reverse[],2,FALSE),"")</f>
        <v/>
      </c>
      <c r="U64" s="111" t="e" cm="1">
        <f t="array" ref="U64">INDEX(Risk!$C$4:$F$8,Attacker_Threat_Zone[[#This Row],[Likelihood]],VLOOKUP(Attacker_Threat_Zone[[#This Row],[Impact
C]],Impact_Mapping[],2,FALSE))</f>
        <v>#VALUE!</v>
      </c>
      <c r="V64" s="111" t="e" cm="1">
        <f t="array" ref="V64">INDEX(Risk!$C$4:$F$8,Attacker_Threat_Zone[[#This Row],[Likelihood]],VLOOKUP(Attacker_Threat_Zone[[#This Row],[Impact
I]],Impact_Mapping[],2,FALSE))</f>
        <v>#VALUE!</v>
      </c>
      <c r="W64" s="111" t="e" cm="1">
        <f t="array" ref="W64">INDEX(Risk!$C$4:$F$8,Attacker_Threat_Zone[[#This Row],[Likelihood]],VLOOKUP(Attacker_Threat_Zone[[#This Row],[Impact
A]],Impact_Mapping[],2,FALSE))</f>
        <v>#VALUE!</v>
      </c>
      <c r="X64" s="152" t="str" cm="1">
        <f t="array" ref="X64">IF(AND(Attacker_Threat_Zone[[#This Row],[Relevance]]="Yes",Attacker_Threat_Zone[[#This Row],[Likelihood]]&lt;&gt;"",Attacker_Threat_Zone[[#This Row],[Impact
Max]]&lt;&gt;""),INDEX(Risk!$C$4:$F$8,Attacker_Threat_Zone[[#This Row],[Likelihood]],VLOOKUP(Attacker_Threat_Zone[[#This Row],[Impact
Max]],Impact_Mapping[],2,FALSE)),"")</f>
        <v/>
      </c>
      <c r="Y64" s="193"/>
      <c r="Z64" s="110" t="e">
        <f>IF(Attacker_Threat_Zone[[#This Row],[Relevance]]="No"," ",MAX(VLOOKUP(Attacker_Threat_Zone[[#This Row],[Risk
C]],SL_Mapping[],2,FALSE),0))</f>
        <v>#VALUE!</v>
      </c>
      <c r="AA64" s="110" t="e">
        <f>IF(Attacker_Threat_Zone[[#This Row],[Relevance]]="No"," ",MAX(VLOOKUP(Attacker_Threat_Zone[[#This Row],[Risk
I]],SL_Mapping[],2,FALSE),0))</f>
        <v>#VALUE!</v>
      </c>
      <c r="AB64" s="110" t="e">
        <f>IF(Attacker_Threat_Zone[[#This Row],[Relevance]]="No"," ",MAX(VLOOKUP(Attacker_Threat_Zone[[#This Row],[Risk
A]],SL_Mapping[],2,FALSE),0))</f>
        <v>#VALUE!</v>
      </c>
      <c r="AC64" s="108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D64" s="108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E64" s="108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F64" s="108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G64" s="108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H64" s="108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I64" s="108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</row>
    <row r="65" spans="13:13">
      <c r="M65" s="10"/>
    </row>
  </sheetData>
  <mergeCells count="7">
    <mergeCell ref="A2:H2"/>
    <mergeCell ref="B4:H4"/>
    <mergeCell ref="A1:AA1"/>
    <mergeCell ref="I2:AA2"/>
    <mergeCell ref="B3:H3"/>
    <mergeCell ref="K3:M3"/>
    <mergeCell ref="N3:T3"/>
  </mergeCells>
  <phoneticPr fontId="30" type="noConversion"/>
  <conditionalFormatting sqref="X6:Y64">
    <cfRule type="cellIs" dxfId="18" priority="1" operator="equal">
      <formula>"Low"</formula>
    </cfRule>
    <cfRule type="cellIs" dxfId="17" priority="2" operator="equal">
      <formula>"Medium"</formula>
    </cfRule>
    <cfRule type="cellIs" dxfId="16" priority="3" operator="equal">
      <formula>"Significant"</formula>
    </cfRule>
    <cfRule type="cellIs" dxfId="15" priority="4" operator="equal">
      <formula>"High"</formula>
    </cfRule>
    <cfRule type="cellIs" dxfId="14" priority="5" operator="equal">
      <formula>"Very High"</formula>
    </cfRule>
  </conditionalFormatting>
  <dataValidations count="3">
    <dataValidation type="list" allowBlank="1" showInputMessage="1" showErrorMessage="1" sqref="I6:I64" xr:uid="{00000000-0002-0000-0300-000000000000}">
      <formula1>"Yes,No"</formula1>
    </dataValidation>
    <dataValidation type="list" allowBlank="1" showInputMessage="1" showErrorMessage="1" sqref="B6:H64" xr:uid="{AF8BEADB-6B07-4A89-865A-188DB80D7DEC}">
      <formula1>"-,C,I,A,CI,CA,IA,CIA"</formula1>
    </dataValidation>
    <dataValidation type="list" allowBlank="1" showInputMessage="1" showErrorMessage="1" sqref="K6:L64" xr:uid="{63F89367-B975-430A-B830-B5442A58DAA1}">
      <formula1>"1,2,3"</formula1>
    </dataValidation>
  </dataValidations>
  <pageMargins left="0.70866141732283472" right="0.70866141732283472" top="0.78740157480314965" bottom="0.78740157480314965" header="0.31496062992125978" footer="0.31496062992125978"/>
  <pageSetup paperSize="8" scale="53" fitToHeight="0" orientation="landscape" r:id="rId1"/>
  <headerFooter>
    <oddHeader>&amp;L[company-name]&amp;CSecurity Risk Assessment
Threat Catalogue&amp;R[Author]
[Version]</oddHeader>
    <oddFooter>&amp;LEULYNX/RCA/OCORA Security Cluster&amp;C&amp;P/&amp;N&amp;R&amp;D</oddFooter>
  </headerFooter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615CBC-71FD-4E0A-ACEF-10EC1E269D1E}">
          <x14:formula1>
            <xm:f>_DATA!$D$3:$D$6</xm:f>
          </x14:formula1>
          <xm:sqref>N6:P64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>
    <tabColor rgb="FF00B0F0"/>
    <pageSetUpPr fitToPage="1"/>
  </sheetPr>
  <dimension ref="A1:S18"/>
  <sheetViews>
    <sheetView zoomScaleNormal="100" workbookViewId="0">
      <selection activeCell="B18" sqref="B18"/>
    </sheetView>
  </sheetViews>
  <sheetFormatPr baseColWidth="10" defaultColWidth="11.5546875" defaultRowHeight="14.4"/>
  <cols>
    <col min="1" max="1" width="25.109375" customWidth="1"/>
    <col min="2" max="2" width="15.44140625" customWidth="1"/>
    <col min="5" max="5" width="15.44140625" customWidth="1"/>
    <col min="6" max="6" width="15.6640625" customWidth="1"/>
    <col min="7" max="7" width="37.77734375" customWidth="1"/>
    <col min="10" max="11" width="15.44140625" customWidth="1"/>
    <col min="14" max="14" width="11.5546875" customWidth="1"/>
    <col min="15" max="15" width="13.6640625" hidden="1" customWidth="1"/>
    <col min="16" max="16" width="20.5546875" hidden="1" customWidth="1"/>
    <col min="17" max="17" width="33.33203125" hidden="1" customWidth="1"/>
    <col min="18" max="18" width="15.44140625" hidden="1" customWidth="1"/>
    <col min="19" max="19" width="18.6640625" hidden="1" customWidth="1"/>
  </cols>
  <sheetData>
    <row r="1" spans="1:19" ht="32.4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</row>
    <row r="2" spans="1:19" ht="32.4" customHeight="1" thickBo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15" customHeight="1" thickBot="1">
      <c r="A3" s="244" t="s">
        <v>145</v>
      </c>
      <c r="B3" s="245"/>
      <c r="C3" s="89"/>
      <c r="D3" s="241" t="s">
        <v>146</v>
      </c>
      <c r="E3" s="242"/>
      <c r="F3" s="242"/>
      <c r="G3" s="243"/>
      <c r="H3" s="89"/>
      <c r="I3" s="248" t="s">
        <v>147</v>
      </c>
      <c r="J3" s="249"/>
      <c r="K3" s="250"/>
      <c r="L3" s="89"/>
      <c r="M3" s="89"/>
      <c r="N3" s="89"/>
    </row>
    <row r="4" spans="1:19" ht="29.4" thickBot="1">
      <c r="A4" s="246"/>
      <c r="B4" s="247"/>
      <c r="D4" s="91"/>
      <c r="E4" s="90" t="s">
        <v>148</v>
      </c>
      <c r="F4" s="90" t="s">
        <v>149</v>
      </c>
      <c r="G4" s="90" t="s">
        <v>150</v>
      </c>
      <c r="I4" s="91"/>
      <c r="J4" s="90" t="s">
        <v>151</v>
      </c>
      <c r="K4" s="90" t="s">
        <v>149</v>
      </c>
      <c r="O4" s="71" t="s">
        <v>152</v>
      </c>
      <c r="P4" s="71" t="s">
        <v>153</v>
      </c>
      <c r="Q4" s="71" t="s">
        <v>154</v>
      </c>
      <c r="R4" s="71" t="s">
        <v>155</v>
      </c>
      <c r="S4" s="71" t="s">
        <v>156</v>
      </c>
    </row>
    <row r="5" spans="1:19" ht="15" customHeight="1" thickBot="1">
      <c r="A5" s="39" t="s">
        <v>47</v>
      </c>
      <c r="B5" s="88">
        <f>MAX(Attacker_Threat_Zone[IAC_Value])</f>
        <v>1</v>
      </c>
      <c r="D5" s="39" t="s">
        <v>47</v>
      </c>
      <c r="E5" s="88">
        <f>IF('SL-T'!O5&gt;=0,'SL-T'!O5,'SL-T'!Q5)</f>
        <v>0</v>
      </c>
      <c r="F5" s="88">
        <f>IF('SL-T'!P5&gt;=0,'SL-T'!P5,'SL-T'!Q5)</f>
        <v>0</v>
      </c>
      <c r="G5" s="91" t="str">
        <f>_xlfn.CONCAT(IF(E5&gt;=MIN(B5,SL_CC_Calc[[#This Row],[Max SL-A]]),"SL-T Fulfilled",IF(F5&gt;=MIN(B5,SL_CC_Calc[[#This Row],[Max SL-A]]),"SL-T Fulfilled after Mitigation","SL-T NOT Fulfilled")),IF(AND(OR(B5&gt;SL_CC_Calc[[#This Row],[Max SL-A]],B5&gt;SL_CC_Calc[[#This Row],[Max SL-A]]),OR(E5&gt;=MIN(B5,SL_CC_Calc[[#This Row],[Max SL-A]]),F5&gt;=MIN(B5,SL_CC_Calc[[#This Row],[Max SL-A]])))," (Max achievable SL reached)",""))</f>
        <v>SL-T NOT Fulfilled</v>
      </c>
      <c r="I5" s="39" t="s">
        <v>47</v>
      </c>
      <c r="J5" s="88">
        <f>SL_CC_Calc[[#This Row],[Max SL-Fulfilled (P)]]</f>
        <v>0</v>
      </c>
      <c r="K5" s="88">
        <f>SL_CC_Calc[[#This Row],[Max SL-Fulfilled (P+M)]]</f>
        <v>0</v>
      </c>
      <c r="O5">
        <f>_xlfn.MINIFS(Measure_62443_3_3[lowest SL-T],Measure_62443_3_3[FR],'SL-T'!D5,Measure_62443_3_3[Requirement Selected (Prefulfilled or Revoked)],"")-1</f>
        <v>0</v>
      </c>
      <c r="P5">
        <f>_xlfn.MINIFS(Measure_62443_3_3[lowest SL-T],Measure_62443_3_3[FR],'SL-T'!D5,Measure_62443_3_3[Requirement Selected (Prefulfilled + Mitigating or Revoked)],"")-1</f>
        <v>0</v>
      </c>
      <c r="Q5">
        <f>_xlfn.MAXIFS(Measure_62443_3_3[lowest SL-T],Measure_62443_3_3[FR],'SL-T'!D5)</f>
        <v>4</v>
      </c>
      <c r="R5">
        <f>_xlfn.MAXIFS(Measure_62443_3_3[lowest SL-T],Measure_62443_3_3[FR],'SL-T'!D5,Measure_62443_3_3[Requirement Selected (Prefulfilled)],"X")</f>
        <v>0</v>
      </c>
      <c r="S5">
        <f>_xlfn.MAXIFS(Measure_62443_3_3[lowest SL-T],Measure_62443_3_3[FR],'SL-T'!D5,Measure_62443_3_3[Requirement Selected (Prefulfilled + Mitigating)],"X")</f>
        <v>0</v>
      </c>
    </row>
    <row r="6" spans="1:19" ht="15" customHeight="1" thickBot="1">
      <c r="A6" s="39" t="s">
        <v>48</v>
      </c>
      <c r="B6" s="88">
        <f>MAX(Attacker_Threat_Zone[UC_Value])</f>
        <v>1</v>
      </c>
      <c r="D6" s="39" t="s">
        <v>48</v>
      </c>
      <c r="E6" s="88">
        <f>IF('SL-T'!O6&gt;=0,'SL-T'!O6,'SL-T'!Q6)</f>
        <v>0</v>
      </c>
      <c r="F6" s="88">
        <f>IF('SL-T'!P6&gt;=0,'SL-T'!P6,'SL-T'!Q6)</f>
        <v>0</v>
      </c>
      <c r="G6" s="91" t="str">
        <f>_xlfn.CONCAT(IF(E6&gt;=MIN(B6,SL_CC_Calc[[#This Row],[Max SL-A]]),"SL-T Fulfilled",IF(F6&gt;=MIN(B6,SL_CC_Calc[[#This Row],[Max SL-A]]),"SL-T Fulfilled after Mitigation","SL-T NOT Fulfilled")),IF(AND(OR(B6&gt;SL_CC_Calc[[#This Row],[Max SL-A]],B6&gt;SL_CC_Calc[[#This Row],[Max SL-A]]),OR(E6&gt;=MIN(B6,SL_CC_Calc[[#This Row],[Max SL-A]]),F6&gt;=MIN(B6,SL_CC_Calc[[#This Row],[Max SL-A]])))," (Max achievable SL reached)",""))</f>
        <v>SL-T NOT Fulfilled</v>
      </c>
      <c r="I6" s="39" t="s">
        <v>48</v>
      </c>
      <c r="J6" s="88">
        <f>SL_CC_Calc[[#This Row],[Max SL-Fulfilled (P)]]</f>
        <v>0</v>
      </c>
      <c r="K6" s="88">
        <f>SL_CC_Calc[[#This Row],[Max SL-Fulfilled (P+M)]]</f>
        <v>0</v>
      </c>
      <c r="O6">
        <f>_xlfn.MINIFS(Measure_62443_3_3[lowest SL-T],Measure_62443_3_3[FR],'SL-T'!D6,Measure_62443_3_3[Requirement Selected (Prefulfilled or Revoked)],"")-1</f>
        <v>0</v>
      </c>
      <c r="P6">
        <f>_xlfn.MINIFS(Measure_62443_3_3[lowest SL-T],Measure_62443_3_3[FR],'SL-T'!D6,Measure_62443_3_3[Requirement Selected (Prefulfilled + Mitigating or Revoked)],"")-1</f>
        <v>0</v>
      </c>
      <c r="Q6">
        <f>_xlfn.MAXIFS(Measure_62443_3_3[lowest SL-T],Measure_62443_3_3[FR],'SL-T'!D6)</f>
        <v>4</v>
      </c>
      <c r="R6">
        <f>_xlfn.MAXIFS(Measure_62443_3_3[lowest SL-T],Measure_62443_3_3[FR],'SL-T'!D6,Measure_62443_3_3[Requirement Selected (Prefulfilled)],"X")</f>
        <v>0</v>
      </c>
      <c r="S6">
        <f>_xlfn.MAXIFS(Measure_62443_3_3[lowest SL-T],Measure_62443_3_3[FR],'SL-T'!D6,Measure_62443_3_3[Requirement Selected (Prefulfilled + Mitigating)],"X")</f>
        <v>0</v>
      </c>
    </row>
    <row r="7" spans="1:19" ht="15" customHeight="1" thickBot="1">
      <c r="A7" s="39" t="s">
        <v>49</v>
      </c>
      <c r="B7" s="88">
        <f>MAX(Attacker_Threat_Zone[SI_Value])</f>
        <v>0</v>
      </c>
      <c r="D7" s="39" t="s">
        <v>49</v>
      </c>
      <c r="E7" s="88">
        <f>IF('SL-T'!O7&gt;=0,'SL-T'!O7,'SL-T'!Q7)</f>
        <v>0</v>
      </c>
      <c r="F7" s="88">
        <f>IF('SL-T'!P7&gt;=0,'SL-T'!P7,'SL-T'!Q7)</f>
        <v>0</v>
      </c>
      <c r="G7" s="91" t="str">
        <f>_xlfn.CONCAT(IF(E7&gt;=MIN(B7,SL_CC_Calc[[#This Row],[Max SL-A]]),"SL-T Fulfilled",IF(F7&gt;=MIN(B7,SL_CC_Calc[[#This Row],[Max SL-A]]),"SL-T Fulfilled after Mitigation","SL-T NOT Fulfilled")),IF(AND(OR(B7&gt;SL_CC_Calc[[#This Row],[Max SL-A]],B7&gt;SL_CC_Calc[[#This Row],[Max SL-A]]),OR(E7&gt;=MIN(B7,SL_CC_Calc[[#This Row],[Max SL-A]]),F7&gt;=MIN(B7,SL_CC_Calc[[#This Row],[Max SL-A]])))," (Max achievable SL reached)",""))</f>
        <v>SL-T Fulfilled</v>
      </c>
      <c r="I7" s="39" t="s">
        <v>49</v>
      </c>
      <c r="J7" s="88">
        <f>SL_CC_Calc[[#This Row],[Max SL-Fulfilled (P)]]</f>
        <v>0</v>
      </c>
      <c r="K7" s="88">
        <f>SL_CC_Calc[[#This Row],[Max SL-Fulfilled (P+M)]]</f>
        <v>0</v>
      </c>
      <c r="O7">
        <f>_xlfn.MINIFS(Measure_62443_3_3[lowest SL-T],Measure_62443_3_3[FR],'SL-T'!D7,Measure_62443_3_3[Requirement Selected (Prefulfilled or Revoked)],"")-1</f>
        <v>0</v>
      </c>
      <c r="P7">
        <f>_xlfn.MINIFS(Measure_62443_3_3[lowest SL-T],Measure_62443_3_3[FR],'SL-T'!D7,Measure_62443_3_3[Requirement Selected (Prefulfilled + Mitigating or Revoked)],"")-1</f>
        <v>0</v>
      </c>
      <c r="Q7">
        <f>_xlfn.MAXIFS(Measure_62443_3_3[lowest SL-T],Measure_62443_3_3[FR],'SL-T'!D7)</f>
        <v>4</v>
      </c>
      <c r="R7">
        <f>_xlfn.MAXIFS(Measure_62443_3_3[lowest SL-T],Measure_62443_3_3[FR],'SL-T'!D7,Measure_62443_3_3[Requirement Selected (Prefulfilled)],"X")</f>
        <v>0</v>
      </c>
      <c r="S7">
        <f>_xlfn.MAXIFS(Measure_62443_3_3[lowest SL-T],Measure_62443_3_3[FR],'SL-T'!D7,Measure_62443_3_3[Requirement Selected (Prefulfilled + Mitigating)],"X")</f>
        <v>0</v>
      </c>
    </row>
    <row r="8" spans="1:19" ht="15" customHeight="1" thickBot="1">
      <c r="A8" s="39" t="s">
        <v>50</v>
      </c>
      <c r="B8" s="88">
        <f>MAX(Attacker_Threat_Zone[DC_Value])</f>
        <v>1</v>
      </c>
      <c r="D8" s="39" t="s">
        <v>50</v>
      </c>
      <c r="E8" s="88">
        <f>IF('SL-T'!O8&gt;=0,'SL-T'!O8,'SL-T'!Q8)</f>
        <v>0</v>
      </c>
      <c r="F8" s="88">
        <f>IF('SL-T'!P8&gt;=0,'SL-T'!P8,'SL-T'!Q8)</f>
        <v>0</v>
      </c>
      <c r="G8" s="91" t="str">
        <f>_xlfn.CONCAT(IF(E8&gt;=MIN(B8,SL_CC_Calc[[#This Row],[Max SL-A]]),"SL-T Fulfilled",IF(F8&gt;=MIN(B8,SL_CC_Calc[[#This Row],[Max SL-A]]),"SL-T Fulfilled after Mitigation","SL-T NOT Fulfilled")),IF(AND(OR(B8&gt;SL_CC_Calc[[#This Row],[Max SL-A]],B8&gt;SL_CC_Calc[[#This Row],[Max SL-A]]),OR(E8&gt;=MIN(B8,SL_CC_Calc[[#This Row],[Max SL-A]]),F8&gt;=MIN(B8,SL_CC_Calc[[#This Row],[Max SL-A]])))," (Max achievable SL reached)",""))</f>
        <v>SL-T NOT Fulfilled</v>
      </c>
      <c r="I8" s="39" t="s">
        <v>50</v>
      </c>
      <c r="J8" s="88">
        <f>SL_CC_Calc[[#This Row],[Max SL-Fulfilled (P)]]</f>
        <v>0</v>
      </c>
      <c r="K8" s="88">
        <f>SL_CC_Calc[[#This Row],[Max SL-Fulfilled (P+M)]]</f>
        <v>0</v>
      </c>
      <c r="O8">
        <f>_xlfn.MINIFS(Measure_62443_3_3[lowest SL-T],Measure_62443_3_3[FR],'SL-T'!D8,Measure_62443_3_3[Requirement Selected (Prefulfilled or Revoked)],"")-1</f>
        <v>0</v>
      </c>
      <c r="P8">
        <f>_xlfn.MINIFS(Measure_62443_3_3[lowest SL-T],Measure_62443_3_3[FR],'SL-T'!D8,Measure_62443_3_3[Requirement Selected (Prefulfilled + Mitigating or Revoked)],"")-1</f>
        <v>0</v>
      </c>
      <c r="Q8">
        <f>_xlfn.MAXIFS(Measure_62443_3_3[lowest SL-T],Measure_62443_3_3[FR],'SL-T'!D8)</f>
        <v>4</v>
      </c>
      <c r="R8">
        <f>_xlfn.MAXIFS(Measure_62443_3_3[lowest SL-T],Measure_62443_3_3[FR],'SL-T'!D8,Measure_62443_3_3[Requirement Selected (Prefulfilled)],"X")</f>
        <v>0</v>
      </c>
      <c r="S8">
        <f>_xlfn.MAXIFS(Measure_62443_3_3[lowest SL-T],Measure_62443_3_3[FR],'SL-T'!D8,Measure_62443_3_3[Requirement Selected (Prefulfilled + Mitigating)],"X")</f>
        <v>0</v>
      </c>
    </row>
    <row r="9" spans="1:19" ht="15" customHeight="1" thickBot="1">
      <c r="A9" s="39" t="s">
        <v>51</v>
      </c>
      <c r="B9" s="88">
        <f>MAX(Attacker_Threat_Zone[RDF_Value])</f>
        <v>1</v>
      </c>
      <c r="D9" s="39" t="s">
        <v>51</v>
      </c>
      <c r="E9" s="88">
        <f>IF('SL-T'!O9&gt;=0,'SL-T'!O9,'SL-T'!Q9)</f>
        <v>0</v>
      </c>
      <c r="F9" s="88">
        <f>IF('SL-T'!P9&gt;=0,'SL-T'!P9,'SL-T'!Q9)</f>
        <v>0</v>
      </c>
      <c r="G9" s="91" t="str">
        <f>_xlfn.CONCAT(IF(E9&gt;=MIN(B9,SL_CC_Calc[[#This Row],[Max SL-A]]),"SL-T Fulfilled",IF(F9&gt;=MIN(B9,SL_CC_Calc[[#This Row],[Max SL-A]]),"SL-T Fulfilled after Mitigation","SL-T NOT Fulfilled")),IF(AND(OR(B9&gt;SL_CC_Calc[[#This Row],[Max SL-A]],B9&gt;SL_CC_Calc[[#This Row],[Max SL-A]]),OR(E9&gt;=MIN(B9,SL_CC_Calc[[#This Row],[Max SL-A]]),F9&gt;=MIN(B9,SL_CC_Calc[[#This Row],[Max SL-A]])))," (Max achievable SL reached)",""))</f>
        <v>SL-T NOT Fulfilled</v>
      </c>
      <c r="I9" s="39" t="s">
        <v>51</v>
      </c>
      <c r="J9" s="88">
        <f>SL_CC_Calc[[#This Row],[Max SL-Fulfilled (P)]]</f>
        <v>0</v>
      </c>
      <c r="K9" s="88">
        <f>SL_CC_Calc[[#This Row],[Max SL-Fulfilled (P+M)]]</f>
        <v>0</v>
      </c>
      <c r="O9">
        <f>_xlfn.MINIFS(Measure_62443_3_3[lowest SL-T],Measure_62443_3_3[FR],'SL-T'!D9,Measure_62443_3_3[Requirement Selected (Prefulfilled or Revoked)],"")-1</f>
        <v>0</v>
      </c>
      <c r="P9">
        <f>_xlfn.MINIFS(Measure_62443_3_3[lowest SL-T],Measure_62443_3_3[FR],'SL-T'!D9,Measure_62443_3_3[Requirement Selected (Prefulfilled + Mitigating or Revoked)],"")-1</f>
        <v>0</v>
      </c>
      <c r="Q9">
        <f>_xlfn.MAXIFS(Measure_62443_3_3[lowest SL-T],Measure_62443_3_3[FR],'SL-T'!D9)</f>
        <v>4</v>
      </c>
      <c r="R9">
        <f>_xlfn.MAXIFS(Measure_62443_3_3[lowest SL-T],Measure_62443_3_3[FR],'SL-T'!D9,Measure_62443_3_3[Requirement Selected (Prefulfilled)],"X")</f>
        <v>0</v>
      </c>
      <c r="S9">
        <f>_xlfn.MAXIFS(Measure_62443_3_3[lowest SL-T],Measure_62443_3_3[FR],'SL-T'!D9,Measure_62443_3_3[Requirement Selected (Prefulfilled + Mitigating)],"X")</f>
        <v>0</v>
      </c>
    </row>
    <row r="10" spans="1:19" ht="15" customHeight="1" thickBot="1">
      <c r="A10" s="39" t="s">
        <v>52</v>
      </c>
      <c r="B10" s="88">
        <f>MAX(Attacker_Threat_Zone[TRE_Value])</f>
        <v>4</v>
      </c>
      <c r="D10" s="39" t="s">
        <v>52</v>
      </c>
      <c r="E10" s="88">
        <f>IF('SL-T'!O10&gt;=0,'SL-T'!O10,'SL-T'!Q10)</f>
        <v>0</v>
      </c>
      <c r="F10" s="88">
        <f>IF('SL-T'!P10&gt;=0,'SL-T'!P10,'SL-T'!Q10)</f>
        <v>0</v>
      </c>
      <c r="G10" s="91" t="str">
        <f>_xlfn.CONCAT(IF(E10&gt;=MIN(B10,SL_CC_Calc[[#This Row],[Max SL-A]]),"SL-T Fulfilled",IF(F10&gt;=MIN(B10,SL_CC_Calc[[#This Row],[Max SL-A]]),"SL-T Fulfilled after Mitigation","SL-T NOT Fulfilled")),IF(AND(OR(B10&gt;SL_CC_Calc[[#This Row],[Max SL-A]],B10&gt;SL_CC_Calc[[#This Row],[Max SL-A]]),OR(E10&gt;=MIN(B10,SL_CC_Calc[[#This Row],[Max SL-A]]),F10&gt;=MIN(B10,SL_CC_Calc[[#This Row],[Max SL-A]])))," (Max achievable SL reached)",""))</f>
        <v>SL-T NOT Fulfilled</v>
      </c>
      <c r="I10" s="39" t="s">
        <v>52</v>
      </c>
      <c r="J10" s="88">
        <f>SL_CC_Calc[[#This Row],[Max SL-Fulfilled (P)]]</f>
        <v>0</v>
      </c>
      <c r="K10" s="88">
        <f>SL_CC_Calc[[#This Row],[Max SL-Fulfilled (P+M)]]</f>
        <v>0</v>
      </c>
      <c r="O10">
        <f>_xlfn.MINIFS(Measure_62443_3_3[lowest SL-T],Measure_62443_3_3[FR],'SL-T'!D10,Measure_62443_3_3[Requirement Selected (Prefulfilled or Revoked)],"")-1</f>
        <v>0</v>
      </c>
      <c r="P10">
        <f>_xlfn.MINIFS(Measure_62443_3_3[lowest SL-T],Measure_62443_3_3[FR],'SL-T'!D10,Measure_62443_3_3[Requirement Selected (Prefulfilled + Mitigating or Revoked)],"")-1</f>
        <v>0</v>
      </c>
      <c r="Q10">
        <f>_xlfn.MAXIFS(Measure_62443_3_3[lowest SL-T],Measure_62443_3_3[FR],'SL-T'!D10)</f>
        <v>3</v>
      </c>
      <c r="R10">
        <f>_xlfn.MAXIFS(Measure_62443_3_3[lowest SL-T],Measure_62443_3_3[FR],'SL-T'!D10,Measure_62443_3_3[Requirement Selected (Prefulfilled)],"X")</f>
        <v>0</v>
      </c>
      <c r="S10">
        <f>_xlfn.MAXIFS(Measure_62443_3_3[lowest SL-T],Measure_62443_3_3[FR],'SL-T'!D10,Measure_62443_3_3[Requirement Selected (Prefulfilled + Mitigating)],"X")</f>
        <v>0</v>
      </c>
    </row>
    <row r="11" spans="1:19" ht="15" customHeight="1" thickBot="1">
      <c r="A11" s="39" t="s">
        <v>53</v>
      </c>
      <c r="B11" s="88">
        <f>MAX(Attacker_Threat_Zone[RA_Value])</f>
        <v>4</v>
      </c>
      <c r="D11" s="39" t="s">
        <v>53</v>
      </c>
      <c r="E11" s="88">
        <f>IF('SL-T'!O11&gt;=0,'SL-T'!O11,'SL-T'!Q11)</f>
        <v>0</v>
      </c>
      <c r="F11" s="88">
        <f>IF('SL-T'!P11&gt;=0,'SL-T'!P11,'SL-T'!Q11)</f>
        <v>0</v>
      </c>
      <c r="G11" s="91" t="str">
        <f>_xlfn.CONCAT(IF(E11&gt;=MIN(B11,SL_CC_Calc[[#This Row],[Max SL-A]]),"SL-T Fulfilled",IF(F11&gt;=MIN(B11,SL_CC_Calc[[#This Row],[Max SL-A]]),"SL-T Fulfilled after Mitigation","SL-T NOT Fulfilled")),IF(AND(OR(B11&gt;SL_CC_Calc[[#This Row],[Max SL-A]],B11&gt;SL_CC_Calc[[#This Row],[Max SL-A]]),OR(E11&gt;=MIN(B11,SL_CC_Calc[[#This Row],[Max SL-A]]),F11&gt;=MIN(B11,SL_CC_Calc[[#This Row],[Max SL-A]])))," (Max achievable SL reached)",""))</f>
        <v>SL-T NOT Fulfilled</v>
      </c>
      <c r="I11" s="39" t="s">
        <v>53</v>
      </c>
      <c r="J11" s="88">
        <f>SL_CC_Calc[[#This Row],[Max SL-Fulfilled (P)]]</f>
        <v>0</v>
      </c>
      <c r="K11" s="88">
        <f>SL_CC_Calc[[#This Row],[Max SL-Fulfilled (P+M)]]</f>
        <v>0</v>
      </c>
      <c r="O11">
        <f>_xlfn.MINIFS(Measure_62443_3_3[lowest SL-T],Measure_62443_3_3[FR],'SL-T'!D11,Measure_62443_3_3[Requirement Selected (Prefulfilled or Revoked)],"")-1</f>
        <v>0</v>
      </c>
      <c r="P11">
        <f>_xlfn.MINIFS(Measure_62443_3_3[lowest SL-T],Measure_62443_3_3[FR],'SL-T'!D11,Measure_62443_3_3[Requirement Selected (Prefulfilled + Mitigating or Revoked)],"")-1</f>
        <v>0</v>
      </c>
      <c r="Q11">
        <f>_xlfn.MAXIFS(Measure_62443_3_3[lowest SL-T],Measure_62443_3_3[FR],'SL-T'!D11)</f>
        <v>3</v>
      </c>
      <c r="R11">
        <f>_xlfn.MAXIFS(Measure_62443_3_3[lowest SL-T],Measure_62443_3_3[FR],'SL-T'!D11,Measure_62443_3_3[Requirement Selected (Prefulfilled)],"X")</f>
        <v>0</v>
      </c>
      <c r="S11">
        <f>_xlfn.MAXIFS(Measure_62443_3_3[lowest SL-T],Measure_62443_3_3[FR],'SL-T'!D11,Measure_62443_3_3[Requirement Selected (Prefulfilled + Mitigating)],"X")</f>
        <v>0</v>
      </c>
    </row>
    <row r="12" spans="1:19" ht="15" customHeight="1" thickBot="1">
      <c r="A12" s="39" t="s">
        <v>157</v>
      </c>
      <c r="B12" s="109" t="str">
        <f>"{"&amp;B5&amp;","&amp;B6&amp;","&amp;B7&amp;","&amp;B8&amp;","&amp;B9&amp;","&amp;B10&amp;","&amp;B11&amp;"}"</f>
        <v>{1,1,0,1,1,4,4}</v>
      </c>
      <c r="D12" s="39" t="s">
        <v>158</v>
      </c>
      <c r="E12" s="40" t="str">
        <f>"{"&amp;E5&amp;","&amp;E6&amp;","&amp;E7&amp;","&amp;E8&amp;","&amp;E9&amp;","&amp;E10&amp;","&amp;E11&amp;"}"</f>
        <v>{0,0,0,0,0,0,0}</v>
      </c>
      <c r="F12" s="40" t="str">
        <f>"{"&amp;F5&amp;","&amp;F6&amp;","&amp;F7&amp;","&amp;F8&amp;","&amp;F9&amp;","&amp;F10&amp;","&amp;F11&amp;"}"</f>
        <v>{0,0,0,0,0,0,0}</v>
      </c>
      <c r="G12" s="92"/>
      <c r="I12" s="39" t="s">
        <v>158</v>
      </c>
      <c r="J12" s="40" t="str">
        <f>"{"&amp;J5&amp;","&amp;J6&amp;","&amp;J7&amp;","&amp;J8&amp;","&amp;J9&amp;","&amp;J10&amp;","&amp;J11&amp;"}"</f>
        <v>{0,0,0,0,0,0,0}</v>
      </c>
      <c r="K12" s="40" t="str">
        <f>"{"&amp;K5&amp;","&amp;K6&amp;","&amp;K7&amp;","&amp;K8&amp;","&amp;K9&amp;","&amp;K10&amp;","&amp;K11&amp;"}"</f>
        <v>{0,0,0,0,0,0,0}</v>
      </c>
    </row>
    <row r="13" spans="1:19" ht="15.9" customHeight="1" thickBot="1">
      <c r="A13" s="41" t="s">
        <v>159</v>
      </c>
      <c r="B13" s="43">
        <f>MAX(B5:B11)</f>
        <v>4</v>
      </c>
      <c r="D13" s="41" t="s">
        <v>160</v>
      </c>
      <c r="E13" s="43">
        <f>MIN(E5:E11)</f>
        <v>0</v>
      </c>
      <c r="F13" s="43">
        <f>MIN(F5:F11)</f>
        <v>0</v>
      </c>
      <c r="G13" s="91"/>
      <c r="I13" s="41" t="s">
        <v>160</v>
      </c>
      <c r="J13" s="43">
        <f>MIN(J5:J11)</f>
        <v>0</v>
      </c>
      <c r="K13" s="43">
        <f>MIN(K5:K11)</f>
        <v>0</v>
      </c>
    </row>
    <row r="17" spans="1:2" ht="15" thickBot="1">
      <c r="A17" s="239" t="s">
        <v>161</v>
      </c>
      <c r="B17" s="240"/>
    </row>
    <row r="18" spans="1:2" ht="15" customHeight="1" thickBot="1">
      <c r="A18" s="42" t="s">
        <v>162</v>
      </c>
      <c r="B18" s="44" t="s">
        <v>163</v>
      </c>
    </row>
  </sheetData>
  <mergeCells count="5">
    <mergeCell ref="A17:B17"/>
    <mergeCell ref="A1:N1"/>
    <mergeCell ref="D3:G3"/>
    <mergeCell ref="A3:B4"/>
    <mergeCell ref="I3:K3"/>
  </mergeCells>
  <dataValidations count="1">
    <dataValidation type="list" showInputMessage="1" showErrorMessage="1" sqref="B18" xr:uid="{680B2883-B93F-4E3B-B530-A88039218EB3}">
      <formula1>#REF!</formula1>
    </dataValidation>
  </dataValidations>
  <pageMargins left="0.70866141732283472" right="0.70866141732283472" top="0.78740157480314965" bottom="0.78740157480314965" header="0.31496062992125978" footer="0.31496062992125978"/>
  <pageSetup paperSize="9" scale="91" fitToHeight="0" orientation="landscape"/>
  <headerFooter>
    <oddHeader>&amp;L[company-name]&amp;CSecurity Risk Assessment
Security Level&amp;R[Author]
[Version]</oddHeader>
    <oddFooter>&amp;LEULYNX/RCA/OCORA Security Cluster&amp;C&amp;P/&amp;N&amp;R&amp;D</oddFooter>
  </headerFooter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BS105"/>
  <sheetViews>
    <sheetView zoomScale="70" zoomScaleNormal="70" workbookViewId="0">
      <pane xSplit="9" ySplit="3" topLeftCell="K80" activePane="bottomRight" state="frozen"/>
      <selection pane="topRight" activeCell="F1" sqref="F1"/>
      <selection pane="bottomLeft" activeCell="A3" sqref="A3"/>
      <selection pane="bottomRight" activeCell="BD97" sqref="BD97"/>
    </sheetView>
  </sheetViews>
  <sheetFormatPr baseColWidth="10" defaultColWidth="11.44140625" defaultRowHeight="14.4"/>
  <cols>
    <col min="1" max="1" width="23.44140625" customWidth="1"/>
    <col min="3" max="3" width="12.5546875" customWidth="1"/>
    <col min="4" max="4" width="70.88671875" customWidth="1"/>
    <col min="5" max="5" width="5.6640625" style="72" customWidth="1"/>
    <col min="6" max="6" width="8.5546875" style="72" hidden="1" customWidth="1"/>
    <col min="7" max="7" width="5.6640625" style="72" customWidth="1"/>
    <col min="8" max="8" width="7.109375" style="72" hidden="1" customWidth="1"/>
    <col min="9" max="10" width="5.6640625" style="72" customWidth="1"/>
    <col min="11" max="11" width="34.6640625" style="72" customWidth="1"/>
    <col min="12" max="56" width="3.6640625" bestFit="1" customWidth="1"/>
    <col min="57" max="70" width="3.6640625" customWidth="1"/>
  </cols>
  <sheetData>
    <row r="1" spans="1:71" ht="34.950000000000003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</row>
    <row r="2" spans="1:71" ht="28.8">
      <c r="A2" s="72"/>
      <c r="D2" s="16" t="s">
        <v>164</v>
      </c>
      <c r="K2" s="24" t="s">
        <v>165</v>
      </c>
    </row>
    <row r="3" spans="1:71" ht="313.5" customHeight="1">
      <c r="A3" s="94" t="s">
        <v>166</v>
      </c>
      <c r="B3" s="95" t="s">
        <v>167</v>
      </c>
      <c r="C3" s="95" t="s">
        <v>168</v>
      </c>
      <c r="D3" s="96" t="s">
        <v>169</v>
      </c>
      <c r="E3" s="93" t="s">
        <v>170</v>
      </c>
      <c r="F3" s="93" t="s">
        <v>171</v>
      </c>
      <c r="G3" s="93" t="s">
        <v>172</v>
      </c>
      <c r="H3" s="93" t="s">
        <v>173</v>
      </c>
      <c r="I3" s="99" t="s">
        <v>54</v>
      </c>
      <c r="J3" s="97" t="s">
        <v>174</v>
      </c>
      <c r="K3" s="98" t="s">
        <v>175</v>
      </c>
      <c r="L3" s="22" t="s">
        <v>80</v>
      </c>
      <c r="M3" s="22" t="s">
        <v>83</v>
      </c>
      <c r="N3" s="22" t="s">
        <v>85</v>
      </c>
      <c r="O3" s="22" t="s">
        <v>87</v>
      </c>
      <c r="P3" s="22" t="s">
        <v>89</v>
      </c>
      <c r="Q3" s="22" t="s">
        <v>91</v>
      </c>
      <c r="R3" s="22" t="s">
        <v>92</v>
      </c>
      <c r="S3" s="22" t="s">
        <v>94</v>
      </c>
      <c r="T3" s="22" t="s">
        <v>97</v>
      </c>
      <c r="U3" s="22" t="s">
        <v>98</v>
      </c>
      <c r="V3" s="22" t="s">
        <v>99</v>
      </c>
      <c r="W3" s="22" t="s">
        <v>100</v>
      </c>
      <c r="X3" s="22" t="s">
        <v>101</v>
      </c>
      <c r="Y3" s="22" t="s">
        <v>102</v>
      </c>
      <c r="Z3" s="22" t="s">
        <v>103</v>
      </c>
      <c r="AA3" s="22" t="s">
        <v>104</v>
      </c>
      <c r="AB3" s="22" t="s">
        <v>105</v>
      </c>
      <c r="AC3" s="22" t="s">
        <v>106</v>
      </c>
      <c r="AD3" s="22" t="s">
        <v>107</v>
      </c>
      <c r="AE3" s="22" t="s">
        <v>108</v>
      </c>
      <c r="AF3" s="22" t="s">
        <v>109</v>
      </c>
      <c r="AG3" s="22" t="s">
        <v>110</v>
      </c>
      <c r="AH3" s="22" t="s">
        <v>111</v>
      </c>
      <c r="AI3" s="22" t="s">
        <v>112</v>
      </c>
      <c r="AJ3" s="22" t="s">
        <v>113</v>
      </c>
      <c r="AK3" s="22" t="s">
        <v>114</v>
      </c>
      <c r="AL3" s="22" t="s">
        <v>115</v>
      </c>
      <c r="AM3" s="22" t="s">
        <v>116</v>
      </c>
      <c r="AN3" s="22" t="s">
        <v>117</v>
      </c>
      <c r="AO3" s="22" t="s">
        <v>118</v>
      </c>
      <c r="AP3" s="22" t="s">
        <v>575</v>
      </c>
      <c r="AQ3" s="22" t="s">
        <v>576</v>
      </c>
      <c r="AR3" s="22" t="s">
        <v>119</v>
      </c>
      <c r="AS3" s="22" t="s">
        <v>120</v>
      </c>
      <c r="AT3" s="22" t="s">
        <v>121</v>
      </c>
      <c r="AU3" s="22" t="s">
        <v>122</v>
      </c>
      <c r="AV3" s="22" t="s">
        <v>577</v>
      </c>
      <c r="AW3" s="22" t="s">
        <v>123</v>
      </c>
      <c r="AX3" s="22" t="s">
        <v>124</v>
      </c>
      <c r="AY3" s="22" t="s">
        <v>125</v>
      </c>
      <c r="AZ3" s="22" t="s">
        <v>126</v>
      </c>
      <c r="BA3" s="22" t="s">
        <v>127</v>
      </c>
      <c r="BB3" s="22" t="s">
        <v>128</v>
      </c>
      <c r="BC3" s="22" t="s">
        <v>129</v>
      </c>
      <c r="BD3" s="22" t="s">
        <v>130</v>
      </c>
      <c r="BE3" s="22" t="s">
        <v>131</v>
      </c>
      <c r="BF3" s="22" t="s">
        <v>132</v>
      </c>
      <c r="BG3" s="22" t="s">
        <v>133</v>
      </c>
      <c r="BH3" s="22" t="s">
        <v>134</v>
      </c>
      <c r="BI3" s="22" t="s">
        <v>135</v>
      </c>
      <c r="BJ3" s="22" t="s">
        <v>136</v>
      </c>
      <c r="BK3" s="22" t="s">
        <v>137</v>
      </c>
      <c r="BL3" s="22" t="s">
        <v>138</v>
      </c>
      <c r="BM3" s="22" t="s">
        <v>139</v>
      </c>
      <c r="BN3" s="22" t="s">
        <v>140</v>
      </c>
      <c r="BO3" s="22" t="s">
        <v>141</v>
      </c>
      <c r="BP3" s="22" t="s">
        <v>142</v>
      </c>
      <c r="BQ3" s="22" t="s">
        <v>143</v>
      </c>
      <c r="BR3" s="22" t="s">
        <v>144</v>
      </c>
    </row>
    <row r="4" spans="1:71">
      <c r="A4" s="145" t="s">
        <v>176</v>
      </c>
      <c r="B4" s="145" t="s">
        <v>47</v>
      </c>
      <c r="C4" s="145">
        <v>1</v>
      </c>
      <c r="D4" s="146" t="s">
        <v>607</v>
      </c>
      <c r="E4" s="147" t="str">
        <f>IF(COUNTIF(Measure_62443_3_3[[#This Row],[G 0.13 Interception of Compromising Interference Signals]:[OPS.1.1.3.8 Manipulation of data and tools during patch and change management]],"P")&gt;0,"X","")</f>
        <v/>
      </c>
      <c r="F4" s="147" t="str">
        <f>IF(OR(Measure_62443_3_3[[#This Row],[Requirement Selected (Prefulfilled)]]="X",Measure_62443_3_3[[#This Row],[Relevance revoked]]="Yes"),"X","")</f>
        <v/>
      </c>
      <c r="G4" s="147" t="str">
        <f>IF(COUNTIF(Measure_62443_3_3[[#This Row],[G 0.13 Interception of Compromising Interference Signals]:[OPS.1.1.3.8 Manipulation of data and tools during patch and change management]],"P")&gt;0,"X","")</f>
        <v/>
      </c>
      <c r="H4" s="147" t="str">
        <f>IF(OR(Measure_62443_3_3[[#This Row],[Requirement Selected (Prefulfilled + Mitigating)]]="X",Measure_62443_3_3[[#This Row],[Relevance revoked]]="Yes"),"X","")</f>
        <v/>
      </c>
      <c r="I4" s="148" t="str">
        <f>IF(VLOOKUP(Measure_62443_3_3[[#This Row],[FR]],'SL-T'!$A$5:$B$11,2,FALSE)&gt;=Measure_62443_3_3[[#This Row],[lowest SL-T]],"X","")</f>
        <v>X</v>
      </c>
      <c r="J4" s="160" t="s">
        <v>90</v>
      </c>
      <c r="K4" s="161"/>
      <c r="L4" s="162" t="s">
        <v>9</v>
      </c>
      <c r="M4" s="162" t="s">
        <v>9</v>
      </c>
      <c r="N4" s="162" t="s">
        <v>9</v>
      </c>
      <c r="O4" s="162" t="s">
        <v>9</v>
      </c>
      <c r="P4" s="162" t="s">
        <v>9</v>
      </c>
      <c r="Q4" s="162" t="s">
        <v>9</v>
      </c>
      <c r="R4" s="162" t="s">
        <v>9</v>
      </c>
      <c r="S4" s="162" t="s">
        <v>9</v>
      </c>
      <c r="T4" s="162" t="s">
        <v>9</v>
      </c>
      <c r="U4" s="162" t="s">
        <v>9</v>
      </c>
      <c r="V4" s="162" t="s">
        <v>9</v>
      </c>
      <c r="W4" s="162" t="s">
        <v>9</v>
      </c>
      <c r="X4" s="162" t="s">
        <v>9</v>
      </c>
      <c r="Y4" s="162" t="s">
        <v>9</v>
      </c>
      <c r="Z4" s="162" t="s">
        <v>9</v>
      </c>
      <c r="AA4" s="162" t="s">
        <v>9</v>
      </c>
      <c r="AB4" s="162" t="s">
        <v>9</v>
      </c>
      <c r="AC4" s="162" t="s">
        <v>9</v>
      </c>
      <c r="AD4" s="162" t="s">
        <v>9</v>
      </c>
      <c r="AE4" s="162" t="s">
        <v>9</v>
      </c>
      <c r="AF4" s="162" t="s">
        <v>9</v>
      </c>
      <c r="AG4" s="162" t="s">
        <v>9</v>
      </c>
      <c r="AH4" s="162" t="s">
        <v>9</v>
      </c>
      <c r="AI4" s="162" t="s">
        <v>9</v>
      </c>
      <c r="AJ4" s="162" t="s">
        <v>9</v>
      </c>
      <c r="AK4" s="162" t="s">
        <v>9</v>
      </c>
      <c r="AL4" s="162" t="s">
        <v>9</v>
      </c>
      <c r="AM4" s="162" t="s">
        <v>9</v>
      </c>
      <c r="AN4" s="162" t="s">
        <v>9</v>
      </c>
      <c r="AO4" s="162" t="s">
        <v>9</v>
      </c>
      <c r="AP4" s="162" t="s">
        <v>9</v>
      </c>
      <c r="AQ4" s="162" t="s">
        <v>9</v>
      </c>
      <c r="AR4" s="162" t="s">
        <v>9</v>
      </c>
      <c r="AS4" s="162" t="s">
        <v>9</v>
      </c>
      <c r="AT4" s="162" t="s">
        <v>9</v>
      </c>
      <c r="AU4" s="162" t="s">
        <v>9</v>
      </c>
      <c r="AV4" s="162" t="s">
        <v>9</v>
      </c>
      <c r="AW4" s="162" t="s">
        <v>9</v>
      </c>
      <c r="AX4" s="162" t="s">
        <v>9</v>
      </c>
      <c r="AY4" s="162" t="s">
        <v>9</v>
      </c>
      <c r="AZ4" s="162" t="s">
        <v>9</v>
      </c>
      <c r="BA4" s="162" t="s">
        <v>9</v>
      </c>
      <c r="BB4" s="162" t="s">
        <v>9</v>
      </c>
      <c r="BC4" s="162" t="s">
        <v>9</v>
      </c>
      <c r="BD4" s="162" t="s">
        <v>9</v>
      </c>
      <c r="BE4" s="162" t="s">
        <v>9</v>
      </c>
      <c r="BF4" s="162" t="s">
        <v>9</v>
      </c>
      <c r="BG4" s="162" t="s">
        <v>9</v>
      </c>
      <c r="BH4" s="162" t="s">
        <v>9</v>
      </c>
      <c r="BI4" s="162" t="s">
        <v>9</v>
      </c>
      <c r="BJ4" s="162" t="s">
        <v>9</v>
      </c>
      <c r="BK4" s="162" t="s">
        <v>9</v>
      </c>
      <c r="BL4" s="162" t="s">
        <v>9</v>
      </c>
      <c r="BM4" s="162" t="s">
        <v>9</v>
      </c>
      <c r="BN4" s="162" t="s">
        <v>9</v>
      </c>
      <c r="BO4" s="162" t="s">
        <v>9</v>
      </c>
      <c r="BP4" s="162" t="s">
        <v>9</v>
      </c>
      <c r="BQ4" s="162" t="s">
        <v>9</v>
      </c>
      <c r="BR4" s="162" t="s">
        <v>9</v>
      </c>
      <c r="BS4" s="194"/>
    </row>
    <row r="5" spans="1:71" hidden="1">
      <c r="A5" s="145" t="s">
        <v>177</v>
      </c>
      <c r="B5" s="145" t="s">
        <v>47</v>
      </c>
      <c r="C5" s="145">
        <v>2</v>
      </c>
      <c r="D5" s="146" t="s">
        <v>607</v>
      </c>
      <c r="E5" s="147" t="str">
        <f>IF(COUNTIF(Measure_62443_3_3[[#This Row],[G 0.13 Interception of Compromising Interference Signals]:[OPS.1.1.3.8 Manipulation of data and tools during patch and change management]],"P")&gt;0,"X","")</f>
        <v/>
      </c>
      <c r="F5" s="147" t="str">
        <f>IF(OR(Measure_62443_3_3[[#This Row],[Requirement Selected (Prefulfilled)]]="X",Measure_62443_3_3[[#This Row],[Relevance revoked]]="Yes"),"X","")</f>
        <v/>
      </c>
      <c r="G5" s="147" t="str">
        <f>IF(COUNTIF(Measure_62443_3_3[[#This Row],[G 0.13 Interception of Compromising Interference Signals]:[OPS.1.1.3.8 Manipulation of data and tools during patch and change management]],"P")&gt;0,"X","")</f>
        <v/>
      </c>
      <c r="H5" s="147" t="str">
        <f>IF(OR(Measure_62443_3_3[[#This Row],[Requirement Selected (Prefulfilled + Mitigating)]]="X",Measure_62443_3_3[[#This Row],[Relevance revoked]]="Yes"),"X","")</f>
        <v/>
      </c>
      <c r="I5" s="148" t="str">
        <f>IF(VLOOKUP(Measure_62443_3_3[[#This Row],[FR]],'SL-T'!$A$5:$B$11,2,FALSE)&gt;=Measure_62443_3_3[[#This Row],[lowest SL-T]],"X","")</f>
        <v/>
      </c>
      <c r="J5" s="160" t="s">
        <v>90</v>
      </c>
      <c r="K5" s="161"/>
      <c r="L5" s="162" t="s">
        <v>9</v>
      </c>
      <c r="M5" s="162" t="s">
        <v>9</v>
      </c>
      <c r="N5" s="162" t="s">
        <v>9</v>
      </c>
      <c r="O5" s="162" t="s">
        <v>9</v>
      </c>
      <c r="P5" s="162" t="s">
        <v>9</v>
      </c>
      <c r="Q5" s="162" t="s">
        <v>9</v>
      </c>
      <c r="R5" s="162" t="s">
        <v>9</v>
      </c>
      <c r="S5" s="162" t="s">
        <v>9</v>
      </c>
      <c r="T5" s="162" t="s">
        <v>9</v>
      </c>
      <c r="U5" s="162" t="s">
        <v>9</v>
      </c>
      <c r="V5" s="162" t="s">
        <v>9</v>
      </c>
      <c r="W5" s="162" t="s">
        <v>9</v>
      </c>
      <c r="X5" s="162" t="s">
        <v>9</v>
      </c>
      <c r="Y5" s="162" t="s">
        <v>9</v>
      </c>
      <c r="Z5" s="162" t="s">
        <v>9</v>
      </c>
      <c r="AA5" s="162" t="s">
        <v>9</v>
      </c>
      <c r="AB5" s="162" t="s">
        <v>9</v>
      </c>
      <c r="AC5" s="162" t="s">
        <v>9</v>
      </c>
      <c r="AD5" s="162" t="s">
        <v>9</v>
      </c>
      <c r="AE5" s="162" t="s">
        <v>9</v>
      </c>
      <c r="AF5" s="162" t="s">
        <v>9</v>
      </c>
      <c r="AG5" s="162" t="s">
        <v>9</v>
      </c>
      <c r="AH5" s="162" t="s">
        <v>9</v>
      </c>
      <c r="AI5" s="162" t="s">
        <v>9</v>
      </c>
      <c r="AJ5" s="162" t="s">
        <v>9</v>
      </c>
      <c r="AK5" s="162" t="s">
        <v>9</v>
      </c>
      <c r="AL5" s="162" t="s">
        <v>9</v>
      </c>
      <c r="AM5" s="162" t="s">
        <v>9</v>
      </c>
      <c r="AN5" s="162" t="s">
        <v>9</v>
      </c>
      <c r="AO5" s="162" t="s">
        <v>9</v>
      </c>
      <c r="AP5" s="162" t="s">
        <v>9</v>
      </c>
      <c r="AQ5" s="162" t="s">
        <v>9</v>
      </c>
      <c r="AR5" s="162" t="s">
        <v>9</v>
      </c>
      <c r="AS5" s="162" t="s">
        <v>9</v>
      </c>
      <c r="AT5" s="162" t="s">
        <v>9</v>
      </c>
      <c r="AU5" s="162" t="s">
        <v>9</v>
      </c>
      <c r="AV5" s="162" t="s">
        <v>9</v>
      </c>
      <c r="AW5" s="162" t="s">
        <v>9</v>
      </c>
      <c r="AX5" s="162" t="s">
        <v>9</v>
      </c>
      <c r="AY5" s="162" t="s">
        <v>9</v>
      </c>
      <c r="AZ5" s="162" t="s">
        <v>9</v>
      </c>
      <c r="BA5" s="162" t="s">
        <v>9</v>
      </c>
      <c r="BB5" s="162" t="s">
        <v>9</v>
      </c>
      <c r="BC5" s="162" t="s">
        <v>9</v>
      </c>
      <c r="BD5" s="162" t="s">
        <v>9</v>
      </c>
      <c r="BE5" s="162" t="s">
        <v>9</v>
      </c>
      <c r="BF5" s="162" t="s">
        <v>9</v>
      </c>
      <c r="BG5" s="162" t="s">
        <v>9</v>
      </c>
      <c r="BH5" s="162" t="s">
        <v>9</v>
      </c>
      <c r="BI5" s="162" t="s">
        <v>9</v>
      </c>
      <c r="BJ5" s="162" t="s">
        <v>9</v>
      </c>
      <c r="BK5" s="162" t="s">
        <v>9</v>
      </c>
      <c r="BL5" s="162" t="s">
        <v>9</v>
      </c>
      <c r="BM5" s="162" t="s">
        <v>9</v>
      </c>
      <c r="BN5" s="162" t="s">
        <v>9</v>
      </c>
      <c r="BO5" s="162" t="s">
        <v>9</v>
      </c>
      <c r="BP5" s="162" t="s">
        <v>9</v>
      </c>
      <c r="BQ5" s="162" t="s">
        <v>9</v>
      </c>
      <c r="BR5" s="162" t="s">
        <v>9</v>
      </c>
      <c r="BS5" s="194"/>
    </row>
    <row r="6" spans="1:71" hidden="1">
      <c r="A6" s="145" t="s">
        <v>178</v>
      </c>
      <c r="B6" s="145" t="s">
        <v>47</v>
      </c>
      <c r="C6" s="145">
        <v>3</v>
      </c>
      <c r="D6" s="146" t="s">
        <v>607</v>
      </c>
      <c r="E6" s="147" t="str">
        <f>IF(COUNTIF(Measure_62443_3_3[[#This Row],[G 0.13 Interception of Compromising Interference Signals]:[OPS.1.1.3.8 Manipulation of data and tools during patch and change management]],"P")&gt;0,"X","")</f>
        <v/>
      </c>
      <c r="F6" s="147" t="str">
        <f>IF(OR(Measure_62443_3_3[[#This Row],[Requirement Selected (Prefulfilled)]]="X",Measure_62443_3_3[[#This Row],[Relevance revoked]]="Yes"),"X","")</f>
        <v/>
      </c>
      <c r="G6" s="147" t="str">
        <f>IF(COUNTIF(Measure_62443_3_3[[#This Row],[G 0.13 Interception of Compromising Interference Signals]:[OPS.1.1.3.8 Manipulation of data and tools during patch and change management]],"P")&gt;0,"X","")</f>
        <v/>
      </c>
      <c r="H6" s="147" t="str">
        <f>IF(OR(Measure_62443_3_3[[#This Row],[Requirement Selected (Prefulfilled + Mitigating)]]="X",Measure_62443_3_3[[#This Row],[Relevance revoked]]="Yes"),"X","")</f>
        <v/>
      </c>
      <c r="I6" s="148" t="str">
        <f>IF(VLOOKUP(Measure_62443_3_3[[#This Row],[FR]],'SL-T'!$A$5:$B$11,2,FALSE)&gt;=Measure_62443_3_3[[#This Row],[lowest SL-T]],"X","")</f>
        <v/>
      </c>
      <c r="J6" s="160" t="s">
        <v>90</v>
      </c>
      <c r="K6" s="161"/>
      <c r="L6" s="162" t="s">
        <v>9</v>
      </c>
      <c r="M6" s="162" t="s">
        <v>9</v>
      </c>
      <c r="N6" s="162" t="s">
        <v>9</v>
      </c>
      <c r="O6" s="162" t="s">
        <v>9</v>
      </c>
      <c r="P6" s="162" t="s">
        <v>9</v>
      </c>
      <c r="Q6" s="162" t="s">
        <v>9</v>
      </c>
      <c r="R6" s="162" t="s">
        <v>9</v>
      </c>
      <c r="S6" s="162" t="s">
        <v>9</v>
      </c>
      <c r="T6" s="162" t="s">
        <v>9</v>
      </c>
      <c r="U6" s="162" t="s">
        <v>9</v>
      </c>
      <c r="V6" s="162" t="s">
        <v>9</v>
      </c>
      <c r="W6" s="162" t="s">
        <v>9</v>
      </c>
      <c r="X6" s="162" t="s">
        <v>9</v>
      </c>
      <c r="Y6" s="162" t="s">
        <v>9</v>
      </c>
      <c r="Z6" s="162" t="s">
        <v>9</v>
      </c>
      <c r="AA6" s="162" t="s">
        <v>9</v>
      </c>
      <c r="AB6" s="162" t="s">
        <v>9</v>
      </c>
      <c r="AC6" s="162" t="s">
        <v>9</v>
      </c>
      <c r="AD6" s="162" t="s">
        <v>9</v>
      </c>
      <c r="AE6" s="162" t="s">
        <v>9</v>
      </c>
      <c r="AF6" s="162" t="s">
        <v>9</v>
      </c>
      <c r="AG6" s="162" t="s">
        <v>9</v>
      </c>
      <c r="AH6" s="162" t="s">
        <v>9</v>
      </c>
      <c r="AI6" s="162" t="s">
        <v>9</v>
      </c>
      <c r="AJ6" s="162" t="s">
        <v>9</v>
      </c>
      <c r="AK6" s="162" t="s">
        <v>9</v>
      </c>
      <c r="AL6" s="162" t="s">
        <v>9</v>
      </c>
      <c r="AM6" s="162" t="s">
        <v>9</v>
      </c>
      <c r="AN6" s="162" t="s">
        <v>9</v>
      </c>
      <c r="AO6" s="162" t="s">
        <v>9</v>
      </c>
      <c r="AP6" s="162" t="s">
        <v>9</v>
      </c>
      <c r="AQ6" s="162" t="s">
        <v>9</v>
      </c>
      <c r="AR6" s="162" t="s">
        <v>9</v>
      </c>
      <c r="AS6" s="162" t="s">
        <v>9</v>
      </c>
      <c r="AT6" s="162" t="s">
        <v>9</v>
      </c>
      <c r="AU6" s="162" t="s">
        <v>9</v>
      </c>
      <c r="AV6" s="162" t="s">
        <v>9</v>
      </c>
      <c r="AW6" s="162" t="s">
        <v>9</v>
      </c>
      <c r="AX6" s="162" t="s">
        <v>9</v>
      </c>
      <c r="AY6" s="162" t="s">
        <v>9</v>
      </c>
      <c r="AZ6" s="162" t="s">
        <v>9</v>
      </c>
      <c r="BA6" s="162" t="s">
        <v>9</v>
      </c>
      <c r="BB6" s="162" t="s">
        <v>9</v>
      </c>
      <c r="BC6" s="162" t="s">
        <v>9</v>
      </c>
      <c r="BD6" s="162" t="s">
        <v>9</v>
      </c>
      <c r="BE6" s="162" t="s">
        <v>9</v>
      </c>
      <c r="BF6" s="162" t="s">
        <v>9</v>
      </c>
      <c r="BG6" s="162" t="s">
        <v>9</v>
      </c>
      <c r="BH6" s="162" t="s">
        <v>9</v>
      </c>
      <c r="BI6" s="162" t="s">
        <v>9</v>
      </c>
      <c r="BJ6" s="162" t="s">
        <v>9</v>
      </c>
      <c r="BK6" s="162" t="s">
        <v>9</v>
      </c>
      <c r="BL6" s="162" t="s">
        <v>9</v>
      </c>
      <c r="BM6" s="162" t="s">
        <v>9</v>
      </c>
      <c r="BN6" s="162" t="s">
        <v>9</v>
      </c>
      <c r="BO6" s="162" t="s">
        <v>9</v>
      </c>
      <c r="BP6" s="162" t="s">
        <v>9</v>
      </c>
      <c r="BQ6" s="162" t="s">
        <v>9</v>
      </c>
      <c r="BR6" s="162" t="s">
        <v>9</v>
      </c>
      <c r="BS6" s="194"/>
    </row>
    <row r="7" spans="1:71" hidden="1">
      <c r="A7" s="145" t="s">
        <v>179</v>
      </c>
      <c r="B7" s="145" t="s">
        <v>47</v>
      </c>
      <c r="C7" s="145">
        <v>4</v>
      </c>
      <c r="D7" s="146" t="s">
        <v>607</v>
      </c>
      <c r="E7" s="147" t="str">
        <f>IF(COUNTIF(Measure_62443_3_3[[#This Row],[G 0.13 Interception of Compromising Interference Signals]:[OPS.1.1.3.8 Manipulation of data and tools during patch and change management]],"P")&gt;0,"X","")</f>
        <v/>
      </c>
      <c r="F7" s="147" t="str">
        <f>IF(OR(Measure_62443_3_3[[#This Row],[Requirement Selected (Prefulfilled)]]="X",Measure_62443_3_3[[#This Row],[Relevance revoked]]="Yes"),"X","")</f>
        <v/>
      </c>
      <c r="G7" s="147" t="str">
        <f>IF(COUNTIF(Measure_62443_3_3[[#This Row],[G 0.13 Interception of Compromising Interference Signals]:[OPS.1.1.3.8 Manipulation of data and tools during patch and change management]],"P")&gt;0,"X","")</f>
        <v/>
      </c>
      <c r="H7" s="147" t="str">
        <f>IF(OR(Measure_62443_3_3[[#This Row],[Requirement Selected (Prefulfilled + Mitigating)]]="X",Measure_62443_3_3[[#This Row],[Relevance revoked]]="Yes"),"X","")</f>
        <v/>
      </c>
      <c r="I7" s="148" t="str">
        <f>IF(VLOOKUP(Measure_62443_3_3[[#This Row],[FR]],'SL-T'!$A$5:$B$11,2,FALSE)&gt;=Measure_62443_3_3[[#This Row],[lowest SL-T]],"X","")</f>
        <v/>
      </c>
      <c r="J7" s="160" t="s">
        <v>90</v>
      </c>
      <c r="K7" s="161"/>
      <c r="L7" s="162" t="s">
        <v>9</v>
      </c>
      <c r="M7" s="162" t="s">
        <v>9</v>
      </c>
      <c r="N7" s="162" t="s">
        <v>9</v>
      </c>
      <c r="O7" s="162" t="s">
        <v>9</v>
      </c>
      <c r="P7" s="162" t="s">
        <v>9</v>
      </c>
      <c r="Q7" s="162" t="s">
        <v>9</v>
      </c>
      <c r="R7" s="162" t="s">
        <v>9</v>
      </c>
      <c r="S7" s="162" t="s">
        <v>9</v>
      </c>
      <c r="T7" s="162" t="s">
        <v>9</v>
      </c>
      <c r="U7" s="162" t="s">
        <v>9</v>
      </c>
      <c r="V7" s="162" t="s">
        <v>9</v>
      </c>
      <c r="W7" s="162" t="s">
        <v>9</v>
      </c>
      <c r="X7" s="162" t="s">
        <v>9</v>
      </c>
      <c r="Y7" s="162" t="s">
        <v>9</v>
      </c>
      <c r="Z7" s="162" t="s">
        <v>9</v>
      </c>
      <c r="AA7" s="162" t="s">
        <v>9</v>
      </c>
      <c r="AB7" s="162" t="s">
        <v>9</v>
      </c>
      <c r="AC7" s="162" t="s">
        <v>9</v>
      </c>
      <c r="AD7" s="162" t="s">
        <v>9</v>
      </c>
      <c r="AE7" s="162" t="s">
        <v>9</v>
      </c>
      <c r="AF7" s="162" t="s">
        <v>9</v>
      </c>
      <c r="AG7" s="162" t="s">
        <v>9</v>
      </c>
      <c r="AH7" s="162" t="s">
        <v>9</v>
      </c>
      <c r="AI7" s="162" t="s">
        <v>9</v>
      </c>
      <c r="AJ7" s="162" t="s">
        <v>9</v>
      </c>
      <c r="AK7" s="162" t="s">
        <v>9</v>
      </c>
      <c r="AL7" s="162" t="s">
        <v>9</v>
      </c>
      <c r="AM7" s="162" t="s">
        <v>9</v>
      </c>
      <c r="AN7" s="162" t="s">
        <v>9</v>
      </c>
      <c r="AO7" s="162" t="s">
        <v>9</v>
      </c>
      <c r="AP7" s="162" t="s">
        <v>9</v>
      </c>
      <c r="AQ7" s="162" t="s">
        <v>9</v>
      </c>
      <c r="AR7" s="162" t="s">
        <v>9</v>
      </c>
      <c r="AS7" s="162" t="s">
        <v>9</v>
      </c>
      <c r="AT7" s="162" t="s">
        <v>9</v>
      </c>
      <c r="AU7" s="162" t="s">
        <v>9</v>
      </c>
      <c r="AV7" s="162" t="s">
        <v>9</v>
      </c>
      <c r="AW7" s="162" t="s">
        <v>9</v>
      </c>
      <c r="AX7" s="162" t="s">
        <v>9</v>
      </c>
      <c r="AY7" s="162" t="s">
        <v>9</v>
      </c>
      <c r="AZ7" s="162" t="s">
        <v>9</v>
      </c>
      <c r="BA7" s="162" t="s">
        <v>9</v>
      </c>
      <c r="BB7" s="162" t="s">
        <v>9</v>
      </c>
      <c r="BC7" s="162" t="s">
        <v>9</v>
      </c>
      <c r="BD7" s="162" t="s">
        <v>9</v>
      </c>
      <c r="BE7" s="162" t="s">
        <v>9</v>
      </c>
      <c r="BF7" s="162" t="s">
        <v>9</v>
      </c>
      <c r="BG7" s="162" t="s">
        <v>9</v>
      </c>
      <c r="BH7" s="162" t="s">
        <v>9</v>
      </c>
      <c r="BI7" s="162" t="s">
        <v>9</v>
      </c>
      <c r="BJ7" s="162" t="s">
        <v>9</v>
      </c>
      <c r="BK7" s="162" t="s">
        <v>9</v>
      </c>
      <c r="BL7" s="162" t="s">
        <v>9</v>
      </c>
      <c r="BM7" s="162" t="s">
        <v>9</v>
      </c>
      <c r="BN7" s="162" t="s">
        <v>9</v>
      </c>
      <c r="BO7" s="162" t="s">
        <v>9</v>
      </c>
      <c r="BP7" s="162" t="s">
        <v>9</v>
      </c>
      <c r="BQ7" s="162" t="s">
        <v>9</v>
      </c>
      <c r="BR7" s="162" t="s">
        <v>9</v>
      </c>
      <c r="BS7" s="194"/>
    </row>
    <row r="8" spans="1:71" hidden="1">
      <c r="A8" s="145" t="s">
        <v>567</v>
      </c>
      <c r="B8" s="145" t="s">
        <v>47</v>
      </c>
      <c r="C8" s="145">
        <v>2</v>
      </c>
      <c r="D8" s="146" t="s">
        <v>607</v>
      </c>
      <c r="E8" s="147" t="str">
        <f>IF(COUNTIF(Measure_62443_3_3[[#This Row],[G 0.13 Interception of Compromising Interference Signals]:[OPS.1.1.3.8 Manipulation of data and tools during patch and change management]],"P")&gt;0,"X","")</f>
        <v/>
      </c>
      <c r="F8" s="147" t="str">
        <f>IF(OR(Measure_62443_3_3[[#This Row],[Requirement Selected (Prefulfilled)]]="X",Measure_62443_3_3[[#This Row],[Relevance revoked]]="Yes"),"X","")</f>
        <v/>
      </c>
      <c r="G8" s="147" t="str">
        <f>IF(COUNTIF(Measure_62443_3_3[[#This Row],[G 0.13 Interception of Compromising Interference Signals]:[OPS.1.1.3.8 Manipulation of data and tools during patch and change management]],"P")&gt;0,"X","")</f>
        <v/>
      </c>
      <c r="H8" s="147" t="str">
        <f>IF(OR(Measure_62443_3_3[[#This Row],[Requirement Selected (Prefulfilled + Mitigating)]]="X",Measure_62443_3_3[[#This Row],[Relevance revoked]]="Yes"),"X","")</f>
        <v/>
      </c>
      <c r="I8" s="148" t="str">
        <f>IF(VLOOKUP(Measure_62443_3_3[[#This Row],[FR]],'SL-T'!$A$5:$B$11,2,FALSE)&gt;=Measure_62443_3_3[[#This Row],[lowest SL-T]],"X","")</f>
        <v/>
      </c>
      <c r="J8" s="160" t="s">
        <v>90</v>
      </c>
      <c r="K8" s="161"/>
      <c r="L8" s="162" t="s">
        <v>9</v>
      </c>
      <c r="M8" s="162" t="s">
        <v>9</v>
      </c>
      <c r="N8" s="162" t="s">
        <v>9</v>
      </c>
      <c r="O8" s="162" t="s">
        <v>9</v>
      </c>
      <c r="P8" s="162" t="s">
        <v>9</v>
      </c>
      <c r="Q8" s="162" t="s">
        <v>9</v>
      </c>
      <c r="R8" s="162" t="s">
        <v>9</v>
      </c>
      <c r="S8" s="162" t="s">
        <v>9</v>
      </c>
      <c r="T8" s="162" t="s">
        <v>9</v>
      </c>
      <c r="U8" s="162" t="s">
        <v>9</v>
      </c>
      <c r="V8" s="162" t="s">
        <v>9</v>
      </c>
      <c r="W8" s="162" t="s">
        <v>9</v>
      </c>
      <c r="X8" s="162" t="s">
        <v>9</v>
      </c>
      <c r="Y8" s="162" t="s">
        <v>9</v>
      </c>
      <c r="Z8" s="162" t="s">
        <v>9</v>
      </c>
      <c r="AA8" s="162" t="s">
        <v>9</v>
      </c>
      <c r="AB8" s="162" t="s">
        <v>9</v>
      </c>
      <c r="AC8" s="162" t="s">
        <v>9</v>
      </c>
      <c r="AD8" s="162" t="s">
        <v>9</v>
      </c>
      <c r="AE8" s="162" t="s">
        <v>9</v>
      </c>
      <c r="AF8" s="162" t="s">
        <v>9</v>
      </c>
      <c r="AG8" s="162" t="s">
        <v>9</v>
      </c>
      <c r="AH8" s="162" t="s">
        <v>9</v>
      </c>
      <c r="AI8" s="162" t="s">
        <v>9</v>
      </c>
      <c r="AJ8" s="162" t="s">
        <v>9</v>
      </c>
      <c r="AK8" s="162" t="s">
        <v>9</v>
      </c>
      <c r="AL8" s="162" t="s">
        <v>9</v>
      </c>
      <c r="AM8" s="162" t="s">
        <v>9</v>
      </c>
      <c r="AN8" s="162" t="s">
        <v>9</v>
      </c>
      <c r="AO8" s="162" t="s">
        <v>9</v>
      </c>
      <c r="AP8" s="162" t="s">
        <v>9</v>
      </c>
      <c r="AQ8" s="162" t="s">
        <v>9</v>
      </c>
      <c r="AR8" s="162" t="s">
        <v>9</v>
      </c>
      <c r="AS8" s="162" t="s">
        <v>9</v>
      </c>
      <c r="AT8" s="162" t="s">
        <v>9</v>
      </c>
      <c r="AU8" s="162" t="s">
        <v>9</v>
      </c>
      <c r="AV8" s="162" t="s">
        <v>9</v>
      </c>
      <c r="AW8" s="162" t="s">
        <v>9</v>
      </c>
      <c r="AX8" s="162" t="s">
        <v>9</v>
      </c>
      <c r="AY8" s="162" t="s">
        <v>9</v>
      </c>
      <c r="AZ8" s="162" t="s">
        <v>9</v>
      </c>
      <c r="BA8" s="162" t="s">
        <v>9</v>
      </c>
      <c r="BB8" s="162" t="s">
        <v>9</v>
      </c>
      <c r="BC8" s="162" t="s">
        <v>9</v>
      </c>
      <c r="BD8" s="162" t="s">
        <v>9</v>
      </c>
      <c r="BE8" s="162" t="s">
        <v>9</v>
      </c>
      <c r="BF8" s="162" t="s">
        <v>9</v>
      </c>
      <c r="BG8" s="162" t="s">
        <v>9</v>
      </c>
      <c r="BH8" s="162" t="s">
        <v>9</v>
      </c>
      <c r="BI8" s="162" t="s">
        <v>9</v>
      </c>
      <c r="BJ8" s="162" t="s">
        <v>9</v>
      </c>
      <c r="BK8" s="162" t="s">
        <v>9</v>
      </c>
      <c r="BL8" s="162" t="s">
        <v>9</v>
      </c>
      <c r="BM8" s="162" t="s">
        <v>9</v>
      </c>
      <c r="BN8" s="162" t="s">
        <v>9</v>
      </c>
      <c r="BO8" s="162" t="s">
        <v>9</v>
      </c>
      <c r="BP8" s="162" t="s">
        <v>9</v>
      </c>
      <c r="BQ8" s="162" t="s">
        <v>9</v>
      </c>
      <c r="BR8" s="162" t="s">
        <v>9</v>
      </c>
      <c r="BS8" s="194"/>
    </row>
    <row r="9" spans="1:71" hidden="1">
      <c r="A9" s="145" t="s">
        <v>180</v>
      </c>
      <c r="B9" s="145" t="s">
        <v>47</v>
      </c>
      <c r="C9" s="145">
        <v>3</v>
      </c>
      <c r="D9" s="146" t="s">
        <v>607</v>
      </c>
      <c r="E9" s="147" t="str">
        <f>IF(COUNTIF(Measure_62443_3_3[[#This Row],[G 0.13 Interception of Compromising Interference Signals]:[OPS.1.1.3.8 Manipulation of data and tools during patch and change management]],"P")&gt;0,"X","")</f>
        <v/>
      </c>
      <c r="F9" s="147" t="str">
        <f>IF(OR(Measure_62443_3_3[[#This Row],[Requirement Selected (Prefulfilled)]]="X",Measure_62443_3_3[[#This Row],[Relevance revoked]]="Yes"),"X","")</f>
        <v/>
      </c>
      <c r="G9" s="147" t="str">
        <f>IF(COUNTIF(Measure_62443_3_3[[#This Row],[G 0.13 Interception of Compromising Interference Signals]:[OPS.1.1.3.8 Manipulation of data and tools during patch and change management]],"P")&gt;0,"X","")</f>
        <v/>
      </c>
      <c r="H9" s="147" t="str">
        <f>IF(OR(Measure_62443_3_3[[#This Row],[Requirement Selected (Prefulfilled + Mitigating)]]="X",Measure_62443_3_3[[#This Row],[Relevance revoked]]="Yes"),"X","")</f>
        <v/>
      </c>
      <c r="I9" s="148" t="str">
        <f>IF(VLOOKUP(Measure_62443_3_3[[#This Row],[FR]],'SL-T'!$A$5:$B$11,2,FALSE)&gt;=Measure_62443_3_3[[#This Row],[lowest SL-T]],"X","")</f>
        <v/>
      </c>
      <c r="J9" s="160" t="s">
        <v>90</v>
      </c>
      <c r="K9" s="161"/>
      <c r="L9" s="162" t="s">
        <v>9</v>
      </c>
      <c r="M9" s="162" t="s">
        <v>9</v>
      </c>
      <c r="N9" s="162" t="s">
        <v>9</v>
      </c>
      <c r="O9" s="162" t="s">
        <v>9</v>
      </c>
      <c r="P9" s="162" t="s">
        <v>9</v>
      </c>
      <c r="Q9" s="162" t="s">
        <v>9</v>
      </c>
      <c r="R9" s="162" t="s">
        <v>9</v>
      </c>
      <c r="S9" s="162" t="s">
        <v>9</v>
      </c>
      <c r="T9" s="162" t="s">
        <v>9</v>
      </c>
      <c r="U9" s="162" t="s">
        <v>9</v>
      </c>
      <c r="V9" s="162" t="s">
        <v>9</v>
      </c>
      <c r="W9" s="162" t="s">
        <v>9</v>
      </c>
      <c r="X9" s="162" t="s">
        <v>9</v>
      </c>
      <c r="Y9" s="162" t="s">
        <v>9</v>
      </c>
      <c r="Z9" s="162" t="s">
        <v>9</v>
      </c>
      <c r="AA9" s="162" t="s">
        <v>9</v>
      </c>
      <c r="AB9" s="162" t="s">
        <v>9</v>
      </c>
      <c r="AC9" s="162" t="s">
        <v>9</v>
      </c>
      <c r="AD9" s="162" t="s">
        <v>9</v>
      </c>
      <c r="AE9" s="162" t="s">
        <v>9</v>
      </c>
      <c r="AF9" s="162" t="s">
        <v>9</v>
      </c>
      <c r="AG9" s="162" t="s">
        <v>9</v>
      </c>
      <c r="AH9" s="162" t="s">
        <v>9</v>
      </c>
      <c r="AI9" s="162" t="s">
        <v>9</v>
      </c>
      <c r="AJ9" s="162" t="s">
        <v>9</v>
      </c>
      <c r="AK9" s="162" t="s">
        <v>9</v>
      </c>
      <c r="AL9" s="162" t="s">
        <v>9</v>
      </c>
      <c r="AM9" s="162" t="s">
        <v>9</v>
      </c>
      <c r="AN9" s="162" t="s">
        <v>9</v>
      </c>
      <c r="AO9" s="162" t="s">
        <v>9</v>
      </c>
      <c r="AP9" s="162" t="s">
        <v>9</v>
      </c>
      <c r="AQ9" s="162" t="s">
        <v>9</v>
      </c>
      <c r="AR9" s="162" t="s">
        <v>9</v>
      </c>
      <c r="AS9" s="162" t="s">
        <v>9</v>
      </c>
      <c r="AT9" s="162" t="s">
        <v>9</v>
      </c>
      <c r="AU9" s="162" t="s">
        <v>9</v>
      </c>
      <c r="AV9" s="162" t="s">
        <v>9</v>
      </c>
      <c r="AW9" s="162" t="s">
        <v>9</v>
      </c>
      <c r="AX9" s="162" t="s">
        <v>9</v>
      </c>
      <c r="AY9" s="162" t="s">
        <v>9</v>
      </c>
      <c r="AZ9" s="162" t="s">
        <v>9</v>
      </c>
      <c r="BA9" s="162" t="s">
        <v>9</v>
      </c>
      <c r="BB9" s="162" t="s">
        <v>9</v>
      </c>
      <c r="BC9" s="162" t="s">
        <v>9</v>
      </c>
      <c r="BD9" s="162" t="s">
        <v>9</v>
      </c>
      <c r="BE9" s="162" t="s">
        <v>9</v>
      </c>
      <c r="BF9" s="162" t="s">
        <v>9</v>
      </c>
      <c r="BG9" s="162" t="s">
        <v>9</v>
      </c>
      <c r="BH9" s="162" t="s">
        <v>9</v>
      </c>
      <c r="BI9" s="162" t="s">
        <v>9</v>
      </c>
      <c r="BJ9" s="162" t="s">
        <v>9</v>
      </c>
      <c r="BK9" s="162" t="s">
        <v>9</v>
      </c>
      <c r="BL9" s="162" t="s">
        <v>9</v>
      </c>
      <c r="BM9" s="162" t="s">
        <v>9</v>
      </c>
      <c r="BN9" s="162" t="s">
        <v>9</v>
      </c>
      <c r="BO9" s="162" t="s">
        <v>9</v>
      </c>
      <c r="BP9" s="162" t="s">
        <v>9</v>
      </c>
      <c r="BQ9" s="162" t="s">
        <v>9</v>
      </c>
      <c r="BR9" s="162" t="s">
        <v>9</v>
      </c>
      <c r="BS9" s="194"/>
    </row>
    <row r="10" spans="1:71">
      <c r="A10" s="145" t="s">
        <v>181</v>
      </c>
      <c r="B10" s="145" t="s">
        <v>47</v>
      </c>
      <c r="C10" s="145">
        <v>1</v>
      </c>
      <c r="D10" s="146" t="s">
        <v>607</v>
      </c>
      <c r="E10" s="147" t="str">
        <f>IF(COUNTIF(Measure_62443_3_3[[#This Row],[G 0.13 Interception of Compromising Interference Signals]:[OPS.1.1.3.8 Manipulation of data and tools during patch and change management]],"P")&gt;0,"X","")</f>
        <v/>
      </c>
      <c r="F10" s="147" t="str">
        <f>IF(OR(Measure_62443_3_3[[#This Row],[Requirement Selected (Prefulfilled)]]="X",Measure_62443_3_3[[#This Row],[Relevance revoked]]="Yes"),"X","")</f>
        <v/>
      </c>
      <c r="G10" s="147" t="str">
        <f>IF(COUNTIF(Measure_62443_3_3[[#This Row],[G 0.13 Interception of Compromising Interference Signals]:[OPS.1.1.3.8 Manipulation of data and tools during patch and change management]],"P")&gt;0,"X","")</f>
        <v/>
      </c>
      <c r="H10" s="147" t="str">
        <f>IF(OR(Measure_62443_3_3[[#This Row],[Requirement Selected (Prefulfilled + Mitigating)]]="X",Measure_62443_3_3[[#This Row],[Relevance revoked]]="Yes"),"X","")</f>
        <v/>
      </c>
      <c r="I10" s="148" t="str">
        <f>IF(VLOOKUP(Measure_62443_3_3[[#This Row],[FR]],'SL-T'!$A$5:$B$11,2,FALSE)&gt;=Measure_62443_3_3[[#This Row],[lowest SL-T]],"X","")</f>
        <v>X</v>
      </c>
      <c r="J10" s="160" t="s">
        <v>90</v>
      </c>
      <c r="K10" s="161"/>
      <c r="L10" s="162" t="s">
        <v>9</v>
      </c>
      <c r="M10" s="162" t="s">
        <v>9</v>
      </c>
      <c r="N10" s="162" t="s">
        <v>9</v>
      </c>
      <c r="O10" s="162" t="s">
        <v>9</v>
      </c>
      <c r="P10" s="162" t="s">
        <v>9</v>
      </c>
      <c r="Q10" s="162" t="s">
        <v>9</v>
      </c>
      <c r="R10" s="162" t="s">
        <v>9</v>
      </c>
      <c r="S10" s="162" t="s">
        <v>9</v>
      </c>
      <c r="T10" s="162" t="s">
        <v>9</v>
      </c>
      <c r="U10" s="162" t="s">
        <v>9</v>
      </c>
      <c r="V10" s="162" t="s">
        <v>9</v>
      </c>
      <c r="W10" s="162" t="s">
        <v>9</v>
      </c>
      <c r="X10" s="162" t="s">
        <v>9</v>
      </c>
      <c r="Y10" s="162" t="s">
        <v>9</v>
      </c>
      <c r="Z10" s="162" t="s">
        <v>9</v>
      </c>
      <c r="AA10" s="162" t="s">
        <v>9</v>
      </c>
      <c r="AB10" s="162" t="s">
        <v>9</v>
      </c>
      <c r="AC10" s="162" t="s">
        <v>9</v>
      </c>
      <c r="AD10" s="162" t="s">
        <v>9</v>
      </c>
      <c r="AE10" s="162" t="s">
        <v>9</v>
      </c>
      <c r="AF10" s="162" t="s">
        <v>9</v>
      </c>
      <c r="AG10" s="162" t="s">
        <v>9</v>
      </c>
      <c r="AH10" s="162" t="s">
        <v>9</v>
      </c>
      <c r="AI10" s="162" t="s">
        <v>9</v>
      </c>
      <c r="AJ10" s="162" t="s">
        <v>9</v>
      </c>
      <c r="AK10" s="162" t="s">
        <v>9</v>
      </c>
      <c r="AL10" s="162" t="s">
        <v>9</v>
      </c>
      <c r="AM10" s="162" t="s">
        <v>9</v>
      </c>
      <c r="AN10" s="162" t="s">
        <v>9</v>
      </c>
      <c r="AO10" s="162" t="s">
        <v>9</v>
      </c>
      <c r="AP10" s="162" t="s">
        <v>9</v>
      </c>
      <c r="AQ10" s="162" t="s">
        <v>9</v>
      </c>
      <c r="AR10" s="162" t="s">
        <v>9</v>
      </c>
      <c r="AS10" s="162" t="s">
        <v>9</v>
      </c>
      <c r="AT10" s="162" t="s">
        <v>9</v>
      </c>
      <c r="AU10" s="162" t="s">
        <v>9</v>
      </c>
      <c r="AV10" s="162" t="s">
        <v>9</v>
      </c>
      <c r="AW10" s="162" t="s">
        <v>9</v>
      </c>
      <c r="AX10" s="162" t="s">
        <v>9</v>
      </c>
      <c r="AY10" s="162" t="s">
        <v>9</v>
      </c>
      <c r="AZ10" s="162" t="s">
        <v>9</v>
      </c>
      <c r="BA10" s="162" t="s">
        <v>9</v>
      </c>
      <c r="BB10" s="162" t="s">
        <v>9</v>
      </c>
      <c r="BC10" s="162" t="s">
        <v>9</v>
      </c>
      <c r="BD10" s="162" t="s">
        <v>9</v>
      </c>
      <c r="BE10" s="162" t="s">
        <v>9</v>
      </c>
      <c r="BF10" s="162" t="s">
        <v>9</v>
      </c>
      <c r="BG10" s="162" t="s">
        <v>9</v>
      </c>
      <c r="BH10" s="162" t="s">
        <v>9</v>
      </c>
      <c r="BI10" s="162" t="s">
        <v>9</v>
      </c>
      <c r="BJ10" s="162" t="s">
        <v>9</v>
      </c>
      <c r="BK10" s="162" t="s">
        <v>9</v>
      </c>
      <c r="BL10" s="162" t="s">
        <v>9</v>
      </c>
      <c r="BM10" s="162" t="s">
        <v>9</v>
      </c>
      <c r="BN10" s="162" t="s">
        <v>9</v>
      </c>
      <c r="BO10" s="162" t="s">
        <v>9</v>
      </c>
      <c r="BP10" s="162" t="s">
        <v>9</v>
      </c>
      <c r="BQ10" s="162" t="s">
        <v>9</v>
      </c>
      <c r="BR10" s="162" t="s">
        <v>9</v>
      </c>
      <c r="BS10" s="194"/>
    </row>
    <row r="11" spans="1:71" hidden="1">
      <c r="A11" s="145" t="s">
        <v>182</v>
      </c>
      <c r="B11" s="145" t="s">
        <v>47</v>
      </c>
      <c r="C11" s="145">
        <v>3</v>
      </c>
      <c r="D11" s="146" t="s">
        <v>607</v>
      </c>
      <c r="E11" s="147" t="str">
        <f>IF(COUNTIF(Measure_62443_3_3[[#This Row],[G 0.13 Interception of Compromising Interference Signals]:[OPS.1.1.3.8 Manipulation of data and tools during patch and change management]],"P")&gt;0,"X","")</f>
        <v/>
      </c>
      <c r="F11" s="147" t="str">
        <f>IF(OR(Measure_62443_3_3[[#This Row],[Requirement Selected (Prefulfilled)]]="X",Measure_62443_3_3[[#This Row],[Relevance revoked]]="Yes"),"X","")</f>
        <v/>
      </c>
      <c r="G11" s="147" t="str">
        <f>IF(COUNTIF(Measure_62443_3_3[[#This Row],[G 0.13 Interception of Compromising Interference Signals]:[OPS.1.1.3.8 Manipulation of data and tools during patch and change management]],"P")&gt;0,"X","")</f>
        <v/>
      </c>
      <c r="H11" s="147" t="str">
        <f>IF(OR(Measure_62443_3_3[[#This Row],[Requirement Selected (Prefulfilled + Mitigating)]]="X",Measure_62443_3_3[[#This Row],[Relevance revoked]]="Yes"),"X","")</f>
        <v/>
      </c>
      <c r="I11" s="148" t="str">
        <f>IF(VLOOKUP(Measure_62443_3_3[[#This Row],[FR]],'SL-T'!$A$5:$B$11,2,FALSE)&gt;=Measure_62443_3_3[[#This Row],[lowest SL-T]],"X","")</f>
        <v/>
      </c>
      <c r="J11" s="160" t="s">
        <v>90</v>
      </c>
      <c r="K11" s="161"/>
      <c r="L11" s="162" t="s">
        <v>9</v>
      </c>
      <c r="M11" s="162" t="s">
        <v>9</v>
      </c>
      <c r="N11" s="162" t="s">
        <v>9</v>
      </c>
      <c r="O11" s="162" t="s">
        <v>9</v>
      </c>
      <c r="P11" s="162" t="s">
        <v>9</v>
      </c>
      <c r="Q11" s="162" t="s">
        <v>9</v>
      </c>
      <c r="R11" s="162" t="s">
        <v>9</v>
      </c>
      <c r="S11" s="162" t="s">
        <v>9</v>
      </c>
      <c r="T11" s="162" t="s">
        <v>9</v>
      </c>
      <c r="U11" s="162" t="s">
        <v>9</v>
      </c>
      <c r="V11" s="162" t="s">
        <v>9</v>
      </c>
      <c r="W11" s="162" t="s">
        <v>9</v>
      </c>
      <c r="X11" s="162" t="s">
        <v>9</v>
      </c>
      <c r="Y11" s="162" t="s">
        <v>9</v>
      </c>
      <c r="Z11" s="162" t="s">
        <v>9</v>
      </c>
      <c r="AA11" s="162" t="s">
        <v>9</v>
      </c>
      <c r="AB11" s="162" t="s">
        <v>9</v>
      </c>
      <c r="AC11" s="162" t="s">
        <v>9</v>
      </c>
      <c r="AD11" s="162" t="s">
        <v>9</v>
      </c>
      <c r="AE11" s="162" t="s">
        <v>9</v>
      </c>
      <c r="AF11" s="162" t="s">
        <v>9</v>
      </c>
      <c r="AG11" s="162" t="s">
        <v>9</v>
      </c>
      <c r="AH11" s="162" t="s">
        <v>9</v>
      </c>
      <c r="AI11" s="162" t="s">
        <v>9</v>
      </c>
      <c r="AJ11" s="162" t="s">
        <v>9</v>
      </c>
      <c r="AK11" s="162" t="s">
        <v>9</v>
      </c>
      <c r="AL11" s="162" t="s">
        <v>9</v>
      </c>
      <c r="AM11" s="162" t="s">
        <v>9</v>
      </c>
      <c r="AN11" s="162" t="s">
        <v>9</v>
      </c>
      <c r="AO11" s="162" t="s">
        <v>9</v>
      </c>
      <c r="AP11" s="162" t="s">
        <v>9</v>
      </c>
      <c r="AQ11" s="162" t="s">
        <v>9</v>
      </c>
      <c r="AR11" s="162" t="s">
        <v>9</v>
      </c>
      <c r="AS11" s="162" t="s">
        <v>9</v>
      </c>
      <c r="AT11" s="162" t="s">
        <v>9</v>
      </c>
      <c r="AU11" s="162" t="s">
        <v>9</v>
      </c>
      <c r="AV11" s="162" t="s">
        <v>9</v>
      </c>
      <c r="AW11" s="162" t="s">
        <v>9</v>
      </c>
      <c r="AX11" s="162" t="s">
        <v>9</v>
      </c>
      <c r="AY11" s="162" t="s">
        <v>9</v>
      </c>
      <c r="AZ11" s="162" t="s">
        <v>9</v>
      </c>
      <c r="BA11" s="162" t="s">
        <v>9</v>
      </c>
      <c r="BB11" s="162" t="s">
        <v>9</v>
      </c>
      <c r="BC11" s="162" t="s">
        <v>9</v>
      </c>
      <c r="BD11" s="162" t="s">
        <v>9</v>
      </c>
      <c r="BE11" s="162" t="s">
        <v>9</v>
      </c>
      <c r="BF11" s="162" t="s">
        <v>9</v>
      </c>
      <c r="BG11" s="162" t="s">
        <v>9</v>
      </c>
      <c r="BH11" s="162" t="s">
        <v>9</v>
      </c>
      <c r="BI11" s="162" t="s">
        <v>9</v>
      </c>
      <c r="BJ11" s="162" t="s">
        <v>9</v>
      </c>
      <c r="BK11" s="162" t="s">
        <v>9</v>
      </c>
      <c r="BL11" s="162" t="s">
        <v>9</v>
      </c>
      <c r="BM11" s="162" t="s">
        <v>9</v>
      </c>
      <c r="BN11" s="162" t="s">
        <v>9</v>
      </c>
      <c r="BO11" s="162" t="s">
        <v>9</v>
      </c>
      <c r="BP11" s="162" t="s">
        <v>9</v>
      </c>
      <c r="BQ11" s="162" t="s">
        <v>9</v>
      </c>
      <c r="BR11" s="162" t="s">
        <v>9</v>
      </c>
      <c r="BS11" s="194"/>
    </row>
    <row r="12" spans="1:71">
      <c r="A12" s="145" t="s">
        <v>183</v>
      </c>
      <c r="B12" s="145" t="s">
        <v>47</v>
      </c>
      <c r="C12" s="145">
        <v>1</v>
      </c>
      <c r="D12" s="146" t="s">
        <v>607</v>
      </c>
      <c r="E12" s="147" t="str">
        <f>IF(COUNTIF(Measure_62443_3_3[[#This Row],[G 0.13 Interception of Compromising Interference Signals]:[OPS.1.1.3.8 Manipulation of data and tools during patch and change management]],"P")&gt;0,"X","")</f>
        <v/>
      </c>
      <c r="F12" s="147" t="str">
        <f>IF(OR(Measure_62443_3_3[[#This Row],[Requirement Selected (Prefulfilled)]]="X",Measure_62443_3_3[[#This Row],[Relevance revoked]]="Yes"),"X","")</f>
        <v/>
      </c>
      <c r="G12" s="147" t="str">
        <f>IF(COUNTIF(Measure_62443_3_3[[#This Row],[G 0.13 Interception of Compromising Interference Signals]:[OPS.1.1.3.8 Manipulation of data and tools during patch and change management]],"P")&gt;0,"X","")</f>
        <v/>
      </c>
      <c r="H12" s="147" t="str">
        <f>IF(OR(Measure_62443_3_3[[#This Row],[Requirement Selected (Prefulfilled + Mitigating)]]="X",Measure_62443_3_3[[#This Row],[Relevance revoked]]="Yes"),"X","")</f>
        <v/>
      </c>
      <c r="I12" s="148" t="str">
        <f>IF(VLOOKUP(Measure_62443_3_3[[#This Row],[FR]],'SL-T'!$A$5:$B$11,2,FALSE)&gt;=Measure_62443_3_3[[#This Row],[lowest SL-T]],"X","")</f>
        <v>X</v>
      </c>
      <c r="J12" s="160" t="s">
        <v>90</v>
      </c>
      <c r="K12" s="161"/>
      <c r="L12" s="162" t="s">
        <v>9</v>
      </c>
      <c r="M12" s="162" t="s">
        <v>9</v>
      </c>
      <c r="N12" s="162" t="s">
        <v>9</v>
      </c>
      <c r="O12" s="162" t="s">
        <v>9</v>
      </c>
      <c r="P12" s="162" t="s">
        <v>9</v>
      </c>
      <c r="Q12" s="162" t="s">
        <v>9</v>
      </c>
      <c r="R12" s="162" t="s">
        <v>9</v>
      </c>
      <c r="S12" s="162" t="s">
        <v>9</v>
      </c>
      <c r="T12" s="162" t="s">
        <v>9</v>
      </c>
      <c r="U12" s="162" t="s">
        <v>9</v>
      </c>
      <c r="V12" s="162" t="s">
        <v>9</v>
      </c>
      <c r="W12" s="162" t="s">
        <v>9</v>
      </c>
      <c r="X12" s="162" t="s">
        <v>9</v>
      </c>
      <c r="Y12" s="162" t="s">
        <v>9</v>
      </c>
      <c r="Z12" s="162" t="s">
        <v>9</v>
      </c>
      <c r="AA12" s="162" t="s">
        <v>9</v>
      </c>
      <c r="AB12" s="162" t="s">
        <v>9</v>
      </c>
      <c r="AC12" s="162" t="s">
        <v>9</v>
      </c>
      <c r="AD12" s="162" t="s">
        <v>9</v>
      </c>
      <c r="AE12" s="162" t="s">
        <v>9</v>
      </c>
      <c r="AF12" s="162" t="s">
        <v>9</v>
      </c>
      <c r="AG12" s="162" t="s">
        <v>9</v>
      </c>
      <c r="AH12" s="162" t="s">
        <v>9</v>
      </c>
      <c r="AI12" s="162" t="s">
        <v>9</v>
      </c>
      <c r="AJ12" s="162" t="s">
        <v>9</v>
      </c>
      <c r="AK12" s="162" t="s">
        <v>9</v>
      </c>
      <c r="AL12" s="162" t="s">
        <v>9</v>
      </c>
      <c r="AM12" s="162" t="s">
        <v>9</v>
      </c>
      <c r="AN12" s="162" t="s">
        <v>9</v>
      </c>
      <c r="AO12" s="162" t="s">
        <v>9</v>
      </c>
      <c r="AP12" s="162" t="s">
        <v>9</v>
      </c>
      <c r="AQ12" s="162" t="s">
        <v>9</v>
      </c>
      <c r="AR12" s="162" t="s">
        <v>9</v>
      </c>
      <c r="AS12" s="162" t="s">
        <v>9</v>
      </c>
      <c r="AT12" s="162" t="s">
        <v>9</v>
      </c>
      <c r="AU12" s="162" t="s">
        <v>9</v>
      </c>
      <c r="AV12" s="162" t="s">
        <v>9</v>
      </c>
      <c r="AW12" s="162" t="s">
        <v>9</v>
      </c>
      <c r="AX12" s="162" t="s">
        <v>9</v>
      </c>
      <c r="AY12" s="162" t="s">
        <v>9</v>
      </c>
      <c r="AZ12" s="162" t="s">
        <v>9</v>
      </c>
      <c r="BA12" s="162" t="s">
        <v>9</v>
      </c>
      <c r="BB12" s="162" t="s">
        <v>9</v>
      </c>
      <c r="BC12" s="162" t="s">
        <v>9</v>
      </c>
      <c r="BD12" s="162" t="s">
        <v>9</v>
      </c>
      <c r="BE12" s="162" t="s">
        <v>9</v>
      </c>
      <c r="BF12" s="162" t="s">
        <v>9</v>
      </c>
      <c r="BG12" s="162" t="s">
        <v>9</v>
      </c>
      <c r="BH12" s="162" t="s">
        <v>9</v>
      </c>
      <c r="BI12" s="162" t="s">
        <v>9</v>
      </c>
      <c r="BJ12" s="162" t="s">
        <v>9</v>
      </c>
      <c r="BK12" s="162" t="s">
        <v>9</v>
      </c>
      <c r="BL12" s="162" t="s">
        <v>9</v>
      </c>
      <c r="BM12" s="162" t="s">
        <v>9</v>
      </c>
      <c r="BN12" s="162" t="s">
        <v>9</v>
      </c>
      <c r="BO12" s="162" t="s">
        <v>9</v>
      </c>
      <c r="BP12" s="162" t="s">
        <v>9</v>
      </c>
      <c r="BQ12" s="162" t="s">
        <v>9</v>
      </c>
      <c r="BR12" s="162" t="s">
        <v>9</v>
      </c>
      <c r="BS12" s="194"/>
    </row>
    <row r="13" spans="1:71">
      <c r="A13" s="145" t="s">
        <v>184</v>
      </c>
      <c r="B13" s="145" t="s">
        <v>47</v>
      </c>
      <c r="C13" s="145">
        <v>1</v>
      </c>
      <c r="D13" s="146" t="s">
        <v>607</v>
      </c>
      <c r="E13" s="147" t="str">
        <f>IF(COUNTIF(Measure_62443_3_3[[#This Row],[G 0.13 Interception of Compromising Interference Signals]:[OPS.1.1.3.8 Manipulation of data and tools during patch and change management]],"P")&gt;0,"X","")</f>
        <v/>
      </c>
      <c r="F13" s="147" t="str">
        <f>IF(OR(Measure_62443_3_3[[#This Row],[Requirement Selected (Prefulfilled)]]="X",Measure_62443_3_3[[#This Row],[Relevance revoked]]="Yes"),"X","")</f>
        <v/>
      </c>
      <c r="G13" s="147" t="str">
        <f>IF(COUNTIF(Measure_62443_3_3[[#This Row],[G 0.13 Interception of Compromising Interference Signals]:[OPS.1.1.3.8 Manipulation of data and tools during patch and change management]],"P")&gt;0,"X","")</f>
        <v/>
      </c>
      <c r="H13" s="147" t="str">
        <f>IF(OR(Measure_62443_3_3[[#This Row],[Requirement Selected (Prefulfilled + Mitigating)]]="X",Measure_62443_3_3[[#This Row],[Relevance revoked]]="Yes"),"X","")</f>
        <v/>
      </c>
      <c r="I13" s="148" t="str">
        <f>IF(VLOOKUP(Measure_62443_3_3[[#This Row],[FR]],'SL-T'!$A$5:$B$11,2,FALSE)&gt;=Measure_62443_3_3[[#This Row],[lowest SL-T]],"X","")</f>
        <v>X</v>
      </c>
      <c r="J13" s="160" t="s">
        <v>90</v>
      </c>
      <c r="K13" s="161"/>
      <c r="L13" s="162" t="s">
        <v>9</v>
      </c>
      <c r="M13" s="162" t="s">
        <v>9</v>
      </c>
      <c r="N13" s="162" t="s">
        <v>9</v>
      </c>
      <c r="O13" s="162" t="s">
        <v>9</v>
      </c>
      <c r="P13" s="162" t="s">
        <v>9</v>
      </c>
      <c r="Q13" s="162" t="s">
        <v>9</v>
      </c>
      <c r="R13" s="162" t="s">
        <v>9</v>
      </c>
      <c r="S13" s="162" t="s">
        <v>9</v>
      </c>
      <c r="T13" s="162" t="s">
        <v>9</v>
      </c>
      <c r="U13" s="162" t="s">
        <v>9</v>
      </c>
      <c r="V13" s="162" t="s">
        <v>9</v>
      </c>
      <c r="W13" s="162" t="s">
        <v>9</v>
      </c>
      <c r="X13" s="162" t="s">
        <v>9</v>
      </c>
      <c r="Y13" s="162" t="s">
        <v>9</v>
      </c>
      <c r="Z13" s="162" t="s">
        <v>9</v>
      </c>
      <c r="AA13" s="162" t="s">
        <v>9</v>
      </c>
      <c r="AB13" s="162" t="s">
        <v>9</v>
      </c>
      <c r="AC13" s="162" t="s">
        <v>9</v>
      </c>
      <c r="AD13" s="162" t="s">
        <v>9</v>
      </c>
      <c r="AE13" s="162" t="s">
        <v>9</v>
      </c>
      <c r="AF13" s="162" t="s">
        <v>9</v>
      </c>
      <c r="AG13" s="162" t="s">
        <v>9</v>
      </c>
      <c r="AH13" s="162" t="s">
        <v>9</v>
      </c>
      <c r="AI13" s="162" t="s">
        <v>9</v>
      </c>
      <c r="AJ13" s="162" t="s">
        <v>9</v>
      </c>
      <c r="AK13" s="162" t="s">
        <v>9</v>
      </c>
      <c r="AL13" s="162" t="s">
        <v>9</v>
      </c>
      <c r="AM13" s="162" t="s">
        <v>9</v>
      </c>
      <c r="AN13" s="162" t="s">
        <v>9</v>
      </c>
      <c r="AO13" s="162" t="s">
        <v>9</v>
      </c>
      <c r="AP13" s="162" t="s">
        <v>9</v>
      </c>
      <c r="AQ13" s="162" t="s">
        <v>9</v>
      </c>
      <c r="AR13" s="162" t="s">
        <v>9</v>
      </c>
      <c r="AS13" s="162" t="s">
        <v>9</v>
      </c>
      <c r="AT13" s="162" t="s">
        <v>9</v>
      </c>
      <c r="AU13" s="162" t="s">
        <v>9</v>
      </c>
      <c r="AV13" s="162" t="s">
        <v>9</v>
      </c>
      <c r="AW13" s="162" t="s">
        <v>9</v>
      </c>
      <c r="AX13" s="162" t="s">
        <v>9</v>
      </c>
      <c r="AY13" s="162" t="s">
        <v>9</v>
      </c>
      <c r="AZ13" s="162" t="s">
        <v>9</v>
      </c>
      <c r="BA13" s="162" t="s">
        <v>9</v>
      </c>
      <c r="BB13" s="162" t="s">
        <v>9</v>
      </c>
      <c r="BC13" s="162" t="s">
        <v>9</v>
      </c>
      <c r="BD13" s="162" t="s">
        <v>9</v>
      </c>
      <c r="BE13" s="162" t="s">
        <v>9</v>
      </c>
      <c r="BF13" s="162" t="s">
        <v>9</v>
      </c>
      <c r="BG13" s="162" t="s">
        <v>9</v>
      </c>
      <c r="BH13" s="162" t="s">
        <v>9</v>
      </c>
      <c r="BI13" s="162" t="s">
        <v>9</v>
      </c>
      <c r="BJ13" s="162" t="s">
        <v>9</v>
      </c>
      <c r="BK13" s="162" t="s">
        <v>9</v>
      </c>
      <c r="BL13" s="162" t="s">
        <v>9</v>
      </c>
      <c r="BM13" s="162" t="s">
        <v>9</v>
      </c>
      <c r="BN13" s="162" t="s">
        <v>9</v>
      </c>
      <c r="BO13" s="162" t="s">
        <v>9</v>
      </c>
      <c r="BP13" s="162" t="s">
        <v>9</v>
      </c>
      <c r="BQ13" s="162" t="s">
        <v>9</v>
      </c>
      <c r="BR13" s="162" t="s">
        <v>9</v>
      </c>
      <c r="BS13" s="194"/>
    </row>
    <row r="14" spans="1:71" hidden="1">
      <c r="A14" s="145" t="s">
        <v>185</v>
      </c>
      <c r="B14" s="145" t="s">
        <v>47</v>
      </c>
      <c r="C14" s="145">
        <v>3</v>
      </c>
      <c r="D14" s="146" t="s">
        <v>607</v>
      </c>
      <c r="E14" s="147" t="str">
        <f>IF(COUNTIF(Measure_62443_3_3[[#This Row],[G 0.13 Interception of Compromising Interference Signals]:[OPS.1.1.3.8 Manipulation of data and tools during patch and change management]],"P")&gt;0,"X","")</f>
        <v/>
      </c>
      <c r="F14" s="147" t="str">
        <f>IF(OR(Measure_62443_3_3[[#This Row],[Requirement Selected (Prefulfilled)]]="X",Measure_62443_3_3[[#This Row],[Relevance revoked]]="Yes"),"X","")</f>
        <v/>
      </c>
      <c r="G14" s="147" t="str">
        <f>IF(COUNTIF(Measure_62443_3_3[[#This Row],[G 0.13 Interception of Compromising Interference Signals]:[OPS.1.1.3.8 Manipulation of data and tools during patch and change management]],"P")&gt;0,"X","")</f>
        <v/>
      </c>
      <c r="H14" s="147" t="str">
        <f>IF(OR(Measure_62443_3_3[[#This Row],[Requirement Selected (Prefulfilled + Mitigating)]]="X",Measure_62443_3_3[[#This Row],[Relevance revoked]]="Yes"),"X","")</f>
        <v/>
      </c>
      <c r="I14" s="148" t="str">
        <f>IF(VLOOKUP(Measure_62443_3_3[[#This Row],[FR]],'SL-T'!$A$5:$B$11,2,FALSE)&gt;=Measure_62443_3_3[[#This Row],[lowest SL-T]],"X","")</f>
        <v/>
      </c>
      <c r="J14" s="160" t="s">
        <v>90</v>
      </c>
      <c r="K14" s="161"/>
      <c r="L14" s="162" t="s">
        <v>9</v>
      </c>
      <c r="M14" s="162" t="s">
        <v>9</v>
      </c>
      <c r="N14" s="162" t="s">
        <v>9</v>
      </c>
      <c r="O14" s="162" t="s">
        <v>9</v>
      </c>
      <c r="P14" s="162" t="s">
        <v>9</v>
      </c>
      <c r="Q14" s="162" t="s">
        <v>9</v>
      </c>
      <c r="R14" s="162" t="s">
        <v>9</v>
      </c>
      <c r="S14" s="162" t="s">
        <v>9</v>
      </c>
      <c r="T14" s="162" t="s">
        <v>9</v>
      </c>
      <c r="U14" s="162" t="s">
        <v>9</v>
      </c>
      <c r="V14" s="162" t="s">
        <v>9</v>
      </c>
      <c r="W14" s="162" t="s">
        <v>9</v>
      </c>
      <c r="X14" s="162" t="s">
        <v>9</v>
      </c>
      <c r="Y14" s="162" t="s">
        <v>9</v>
      </c>
      <c r="Z14" s="162" t="s">
        <v>9</v>
      </c>
      <c r="AA14" s="162" t="s">
        <v>9</v>
      </c>
      <c r="AB14" s="162" t="s">
        <v>9</v>
      </c>
      <c r="AC14" s="162" t="s">
        <v>9</v>
      </c>
      <c r="AD14" s="162" t="s">
        <v>9</v>
      </c>
      <c r="AE14" s="162" t="s">
        <v>9</v>
      </c>
      <c r="AF14" s="162" t="s">
        <v>9</v>
      </c>
      <c r="AG14" s="162" t="s">
        <v>9</v>
      </c>
      <c r="AH14" s="162" t="s">
        <v>9</v>
      </c>
      <c r="AI14" s="162" t="s">
        <v>9</v>
      </c>
      <c r="AJ14" s="162" t="s">
        <v>9</v>
      </c>
      <c r="AK14" s="162" t="s">
        <v>9</v>
      </c>
      <c r="AL14" s="162" t="s">
        <v>9</v>
      </c>
      <c r="AM14" s="162" t="s">
        <v>9</v>
      </c>
      <c r="AN14" s="162" t="s">
        <v>9</v>
      </c>
      <c r="AO14" s="162" t="s">
        <v>9</v>
      </c>
      <c r="AP14" s="162" t="s">
        <v>9</v>
      </c>
      <c r="AQ14" s="162" t="s">
        <v>9</v>
      </c>
      <c r="AR14" s="162" t="s">
        <v>9</v>
      </c>
      <c r="AS14" s="162" t="s">
        <v>9</v>
      </c>
      <c r="AT14" s="162" t="s">
        <v>9</v>
      </c>
      <c r="AU14" s="162" t="s">
        <v>9</v>
      </c>
      <c r="AV14" s="162" t="s">
        <v>9</v>
      </c>
      <c r="AW14" s="162" t="s">
        <v>9</v>
      </c>
      <c r="AX14" s="162" t="s">
        <v>9</v>
      </c>
      <c r="AY14" s="162" t="s">
        <v>9</v>
      </c>
      <c r="AZ14" s="162" t="s">
        <v>9</v>
      </c>
      <c r="BA14" s="162" t="s">
        <v>9</v>
      </c>
      <c r="BB14" s="162" t="s">
        <v>9</v>
      </c>
      <c r="BC14" s="162" t="s">
        <v>9</v>
      </c>
      <c r="BD14" s="162" t="s">
        <v>9</v>
      </c>
      <c r="BE14" s="162" t="s">
        <v>9</v>
      </c>
      <c r="BF14" s="162" t="s">
        <v>9</v>
      </c>
      <c r="BG14" s="162" t="s">
        <v>9</v>
      </c>
      <c r="BH14" s="162" t="s">
        <v>9</v>
      </c>
      <c r="BI14" s="162" t="s">
        <v>9</v>
      </c>
      <c r="BJ14" s="162" t="s">
        <v>9</v>
      </c>
      <c r="BK14" s="162" t="s">
        <v>9</v>
      </c>
      <c r="BL14" s="162" t="s">
        <v>9</v>
      </c>
      <c r="BM14" s="162" t="s">
        <v>9</v>
      </c>
      <c r="BN14" s="162" t="s">
        <v>9</v>
      </c>
      <c r="BO14" s="162" t="s">
        <v>9</v>
      </c>
      <c r="BP14" s="162" t="s">
        <v>9</v>
      </c>
      <c r="BQ14" s="162" t="s">
        <v>9</v>
      </c>
      <c r="BR14" s="162" t="s">
        <v>9</v>
      </c>
      <c r="BS14" s="194"/>
    </row>
    <row r="15" spans="1:71">
      <c r="A15" s="145" t="s">
        <v>186</v>
      </c>
      <c r="B15" s="145" t="s">
        <v>47</v>
      </c>
      <c r="C15" s="145">
        <v>1</v>
      </c>
      <c r="D15" s="146" t="s">
        <v>607</v>
      </c>
      <c r="E15" s="147" t="str">
        <f>IF(COUNTIF(Measure_62443_3_3[[#This Row],[G 0.13 Interception of Compromising Interference Signals]:[OPS.1.1.3.8 Manipulation of data and tools during patch and change management]],"P")&gt;0,"X","")</f>
        <v/>
      </c>
      <c r="F15" s="147" t="str">
        <f>IF(OR(Measure_62443_3_3[[#This Row],[Requirement Selected (Prefulfilled)]]="X",Measure_62443_3_3[[#This Row],[Relevance revoked]]="Yes"),"X","")</f>
        <v/>
      </c>
      <c r="G15" s="147" t="str">
        <f>IF(COUNTIF(Measure_62443_3_3[[#This Row],[G 0.13 Interception of Compromising Interference Signals]:[OPS.1.1.3.8 Manipulation of data and tools during patch and change management]],"P")&gt;0,"X","")</f>
        <v/>
      </c>
      <c r="H15" s="147" t="str">
        <f>IF(OR(Measure_62443_3_3[[#This Row],[Requirement Selected (Prefulfilled + Mitigating)]]="X",Measure_62443_3_3[[#This Row],[Relevance revoked]]="Yes"),"X","")</f>
        <v/>
      </c>
      <c r="I15" s="148" t="str">
        <f>IF(VLOOKUP(Measure_62443_3_3[[#This Row],[FR]],'SL-T'!$A$5:$B$11,2,FALSE)&gt;=Measure_62443_3_3[[#This Row],[lowest SL-T]],"X","")</f>
        <v>X</v>
      </c>
      <c r="J15" s="160" t="s">
        <v>90</v>
      </c>
      <c r="K15" s="161"/>
      <c r="L15" s="162" t="s">
        <v>9</v>
      </c>
      <c r="M15" s="162" t="s">
        <v>9</v>
      </c>
      <c r="N15" s="162" t="s">
        <v>9</v>
      </c>
      <c r="O15" s="162" t="s">
        <v>9</v>
      </c>
      <c r="P15" s="162" t="s">
        <v>9</v>
      </c>
      <c r="Q15" s="162" t="s">
        <v>9</v>
      </c>
      <c r="R15" s="162" t="s">
        <v>9</v>
      </c>
      <c r="S15" s="162" t="s">
        <v>9</v>
      </c>
      <c r="T15" s="162" t="s">
        <v>9</v>
      </c>
      <c r="U15" s="162" t="s">
        <v>9</v>
      </c>
      <c r="V15" s="162" t="s">
        <v>9</v>
      </c>
      <c r="W15" s="162" t="s">
        <v>9</v>
      </c>
      <c r="X15" s="162" t="s">
        <v>9</v>
      </c>
      <c r="Y15" s="162" t="s">
        <v>9</v>
      </c>
      <c r="Z15" s="162" t="s">
        <v>9</v>
      </c>
      <c r="AA15" s="162" t="s">
        <v>9</v>
      </c>
      <c r="AB15" s="162" t="s">
        <v>9</v>
      </c>
      <c r="AC15" s="162" t="s">
        <v>9</v>
      </c>
      <c r="AD15" s="162" t="s">
        <v>9</v>
      </c>
      <c r="AE15" s="162" t="s">
        <v>9</v>
      </c>
      <c r="AF15" s="162" t="s">
        <v>9</v>
      </c>
      <c r="AG15" s="162" t="s">
        <v>9</v>
      </c>
      <c r="AH15" s="162" t="s">
        <v>9</v>
      </c>
      <c r="AI15" s="162" t="s">
        <v>9</v>
      </c>
      <c r="AJ15" s="162" t="s">
        <v>9</v>
      </c>
      <c r="AK15" s="162" t="s">
        <v>9</v>
      </c>
      <c r="AL15" s="162" t="s">
        <v>9</v>
      </c>
      <c r="AM15" s="162" t="s">
        <v>9</v>
      </c>
      <c r="AN15" s="162" t="s">
        <v>9</v>
      </c>
      <c r="AO15" s="162" t="s">
        <v>9</v>
      </c>
      <c r="AP15" s="162" t="s">
        <v>9</v>
      </c>
      <c r="AQ15" s="162" t="s">
        <v>9</v>
      </c>
      <c r="AR15" s="162" t="s">
        <v>9</v>
      </c>
      <c r="AS15" s="162" t="s">
        <v>9</v>
      </c>
      <c r="AT15" s="162" t="s">
        <v>9</v>
      </c>
      <c r="AU15" s="162" t="s">
        <v>9</v>
      </c>
      <c r="AV15" s="162" t="s">
        <v>9</v>
      </c>
      <c r="AW15" s="162" t="s">
        <v>9</v>
      </c>
      <c r="AX15" s="162" t="s">
        <v>9</v>
      </c>
      <c r="AY15" s="162" t="s">
        <v>9</v>
      </c>
      <c r="AZ15" s="162" t="s">
        <v>9</v>
      </c>
      <c r="BA15" s="162" t="s">
        <v>9</v>
      </c>
      <c r="BB15" s="162" t="s">
        <v>9</v>
      </c>
      <c r="BC15" s="162" t="s">
        <v>9</v>
      </c>
      <c r="BD15" s="162" t="s">
        <v>9</v>
      </c>
      <c r="BE15" s="162" t="s">
        <v>9</v>
      </c>
      <c r="BF15" s="162" t="s">
        <v>9</v>
      </c>
      <c r="BG15" s="162" t="s">
        <v>9</v>
      </c>
      <c r="BH15" s="162" t="s">
        <v>9</v>
      </c>
      <c r="BI15" s="162" t="s">
        <v>9</v>
      </c>
      <c r="BJ15" s="162" t="s">
        <v>9</v>
      </c>
      <c r="BK15" s="162" t="s">
        <v>9</v>
      </c>
      <c r="BL15" s="162" t="s">
        <v>9</v>
      </c>
      <c r="BM15" s="162" t="s">
        <v>9</v>
      </c>
      <c r="BN15" s="162" t="s">
        <v>9</v>
      </c>
      <c r="BO15" s="162" t="s">
        <v>9</v>
      </c>
      <c r="BP15" s="162" t="s">
        <v>9</v>
      </c>
      <c r="BQ15" s="162" t="s">
        <v>9</v>
      </c>
      <c r="BR15" s="162" t="s">
        <v>9</v>
      </c>
      <c r="BS15" s="194"/>
    </row>
    <row r="16" spans="1:71" hidden="1">
      <c r="A16" s="145" t="s">
        <v>187</v>
      </c>
      <c r="B16" s="145" t="s">
        <v>47</v>
      </c>
      <c r="C16" s="145">
        <v>2</v>
      </c>
      <c r="D16" s="146" t="s">
        <v>607</v>
      </c>
      <c r="E16" s="147" t="str">
        <f>IF(COUNTIF(Measure_62443_3_3[[#This Row],[G 0.13 Interception of Compromising Interference Signals]:[OPS.1.1.3.8 Manipulation of data and tools during patch and change management]],"P")&gt;0,"X","")</f>
        <v/>
      </c>
      <c r="F16" s="147" t="str">
        <f>IF(OR(Measure_62443_3_3[[#This Row],[Requirement Selected (Prefulfilled)]]="X",Measure_62443_3_3[[#This Row],[Relevance revoked]]="Yes"),"X","")</f>
        <v/>
      </c>
      <c r="G16" s="147" t="str">
        <f>IF(COUNTIF(Measure_62443_3_3[[#This Row],[G 0.13 Interception of Compromising Interference Signals]:[OPS.1.1.3.8 Manipulation of data and tools during patch and change management]],"P")&gt;0,"X","")</f>
        <v/>
      </c>
      <c r="H16" s="147" t="str">
        <f>IF(OR(Measure_62443_3_3[[#This Row],[Requirement Selected (Prefulfilled + Mitigating)]]="X",Measure_62443_3_3[[#This Row],[Relevance revoked]]="Yes"),"X","")</f>
        <v/>
      </c>
      <c r="I16" s="148" t="str">
        <f>IF(VLOOKUP(Measure_62443_3_3[[#This Row],[FR]],'SL-T'!$A$5:$B$11,2,FALSE)&gt;=Measure_62443_3_3[[#This Row],[lowest SL-T]],"X","")</f>
        <v/>
      </c>
      <c r="J16" s="160" t="s">
        <v>90</v>
      </c>
      <c r="K16" s="161"/>
      <c r="L16" s="162" t="s">
        <v>9</v>
      </c>
      <c r="M16" s="162" t="s">
        <v>9</v>
      </c>
      <c r="N16" s="162" t="s">
        <v>9</v>
      </c>
      <c r="O16" s="162" t="s">
        <v>9</v>
      </c>
      <c r="P16" s="162" t="s">
        <v>9</v>
      </c>
      <c r="Q16" s="162" t="s">
        <v>9</v>
      </c>
      <c r="R16" s="162" t="s">
        <v>9</v>
      </c>
      <c r="S16" s="162" t="s">
        <v>9</v>
      </c>
      <c r="T16" s="162" t="s">
        <v>9</v>
      </c>
      <c r="U16" s="162" t="s">
        <v>9</v>
      </c>
      <c r="V16" s="162" t="s">
        <v>9</v>
      </c>
      <c r="W16" s="162" t="s">
        <v>9</v>
      </c>
      <c r="X16" s="162" t="s">
        <v>9</v>
      </c>
      <c r="Y16" s="162" t="s">
        <v>9</v>
      </c>
      <c r="Z16" s="162" t="s">
        <v>9</v>
      </c>
      <c r="AA16" s="162" t="s">
        <v>9</v>
      </c>
      <c r="AB16" s="162" t="s">
        <v>9</v>
      </c>
      <c r="AC16" s="162" t="s">
        <v>9</v>
      </c>
      <c r="AD16" s="162" t="s">
        <v>9</v>
      </c>
      <c r="AE16" s="162" t="s">
        <v>9</v>
      </c>
      <c r="AF16" s="162" t="s">
        <v>9</v>
      </c>
      <c r="AG16" s="162" t="s">
        <v>9</v>
      </c>
      <c r="AH16" s="162" t="s">
        <v>9</v>
      </c>
      <c r="AI16" s="162" t="s">
        <v>9</v>
      </c>
      <c r="AJ16" s="162" t="s">
        <v>9</v>
      </c>
      <c r="AK16" s="162" t="s">
        <v>9</v>
      </c>
      <c r="AL16" s="162" t="s">
        <v>9</v>
      </c>
      <c r="AM16" s="162" t="s">
        <v>9</v>
      </c>
      <c r="AN16" s="162" t="s">
        <v>9</v>
      </c>
      <c r="AO16" s="162" t="s">
        <v>9</v>
      </c>
      <c r="AP16" s="162" t="s">
        <v>9</v>
      </c>
      <c r="AQ16" s="162" t="s">
        <v>9</v>
      </c>
      <c r="AR16" s="162" t="s">
        <v>9</v>
      </c>
      <c r="AS16" s="162" t="s">
        <v>9</v>
      </c>
      <c r="AT16" s="162" t="s">
        <v>9</v>
      </c>
      <c r="AU16" s="162" t="s">
        <v>9</v>
      </c>
      <c r="AV16" s="162" t="s">
        <v>9</v>
      </c>
      <c r="AW16" s="162" t="s">
        <v>9</v>
      </c>
      <c r="AX16" s="162" t="s">
        <v>9</v>
      </c>
      <c r="AY16" s="162" t="s">
        <v>9</v>
      </c>
      <c r="AZ16" s="162" t="s">
        <v>9</v>
      </c>
      <c r="BA16" s="162" t="s">
        <v>9</v>
      </c>
      <c r="BB16" s="162" t="s">
        <v>9</v>
      </c>
      <c r="BC16" s="162" t="s">
        <v>9</v>
      </c>
      <c r="BD16" s="162" t="s">
        <v>9</v>
      </c>
      <c r="BE16" s="162" t="s">
        <v>9</v>
      </c>
      <c r="BF16" s="162" t="s">
        <v>9</v>
      </c>
      <c r="BG16" s="162" t="s">
        <v>9</v>
      </c>
      <c r="BH16" s="162" t="s">
        <v>9</v>
      </c>
      <c r="BI16" s="162" t="s">
        <v>9</v>
      </c>
      <c r="BJ16" s="162" t="s">
        <v>9</v>
      </c>
      <c r="BK16" s="162" t="s">
        <v>9</v>
      </c>
      <c r="BL16" s="162" t="s">
        <v>9</v>
      </c>
      <c r="BM16" s="162" t="s">
        <v>9</v>
      </c>
      <c r="BN16" s="162" t="s">
        <v>9</v>
      </c>
      <c r="BO16" s="162" t="s">
        <v>9</v>
      </c>
      <c r="BP16" s="162" t="s">
        <v>9</v>
      </c>
      <c r="BQ16" s="162" t="s">
        <v>9</v>
      </c>
      <c r="BR16" s="162" t="s">
        <v>9</v>
      </c>
      <c r="BS16" s="194"/>
    </row>
    <row r="17" spans="1:71">
      <c r="A17" s="145" t="s">
        <v>188</v>
      </c>
      <c r="B17" s="145" t="s">
        <v>47</v>
      </c>
      <c r="C17" s="145">
        <v>1</v>
      </c>
      <c r="D17" s="146" t="s">
        <v>607</v>
      </c>
      <c r="E17" s="147" t="str">
        <f>IF(COUNTIF(Measure_62443_3_3[[#This Row],[G 0.13 Interception of Compromising Interference Signals]:[OPS.1.1.3.8 Manipulation of data and tools during patch and change management]],"P")&gt;0,"X","")</f>
        <v/>
      </c>
      <c r="F17" s="147" t="str">
        <f>IF(OR(Measure_62443_3_3[[#This Row],[Requirement Selected (Prefulfilled)]]="X",Measure_62443_3_3[[#This Row],[Relevance revoked]]="Yes"),"X","")</f>
        <v/>
      </c>
      <c r="G17" s="147" t="str">
        <f>IF(COUNTIF(Measure_62443_3_3[[#This Row],[G 0.13 Interception of Compromising Interference Signals]:[OPS.1.1.3.8 Manipulation of data and tools during patch and change management]],"P")&gt;0,"X","")</f>
        <v/>
      </c>
      <c r="H17" s="147" t="str">
        <f>IF(OR(Measure_62443_3_3[[#This Row],[Requirement Selected (Prefulfilled + Mitigating)]]="X",Measure_62443_3_3[[#This Row],[Relevance revoked]]="Yes"),"X","")</f>
        <v/>
      </c>
      <c r="I17" s="148" t="str">
        <f>IF(VLOOKUP(Measure_62443_3_3[[#This Row],[FR]],'SL-T'!$A$5:$B$11,2,FALSE)&gt;=Measure_62443_3_3[[#This Row],[lowest SL-T]],"X","")</f>
        <v>X</v>
      </c>
      <c r="J17" s="160" t="s">
        <v>90</v>
      </c>
      <c r="K17" s="161"/>
      <c r="L17" s="162" t="s">
        <v>9</v>
      </c>
      <c r="M17" s="162" t="s">
        <v>9</v>
      </c>
      <c r="N17" s="162" t="s">
        <v>9</v>
      </c>
      <c r="O17" s="162" t="s">
        <v>9</v>
      </c>
      <c r="P17" s="162" t="s">
        <v>9</v>
      </c>
      <c r="Q17" s="162" t="s">
        <v>9</v>
      </c>
      <c r="R17" s="162" t="s">
        <v>9</v>
      </c>
      <c r="S17" s="162" t="s">
        <v>9</v>
      </c>
      <c r="T17" s="162" t="s">
        <v>9</v>
      </c>
      <c r="U17" s="162" t="s">
        <v>9</v>
      </c>
      <c r="V17" s="162" t="s">
        <v>9</v>
      </c>
      <c r="W17" s="162" t="s">
        <v>9</v>
      </c>
      <c r="X17" s="162" t="s">
        <v>9</v>
      </c>
      <c r="Y17" s="162" t="s">
        <v>9</v>
      </c>
      <c r="Z17" s="162" t="s">
        <v>9</v>
      </c>
      <c r="AA17" s="162" t="s">
        <v>9</v>
      </c>
      <c r="AB17" s="162" t="s">
        <v>9</v>
      </c>
      <c r="AC17" s="162" t="s">
        <v>9</v>
      </c>
      <c r="AD17" s="162" t="s">
        <v>9</v>
      </c>
      <c r="AE17" s="162" t="s">
        <v>9</v>
      </c>
      <c r="AF17" s="162" t="s">
        <v>9</v>
      </c>
      <c r="AG17" s="162" t="s">
        <v>9</v>
      </c>
      <c r="AH17" s="162" t="s">
        <v>9</v>
      </c>
      <c r="AI17" s="162" t="s">
        <v>9</v>
      </c>
      <c r="AJ17" s="162" t="s">
        <v>9</v>
      </c>
      <c r="AK17" s="162" t="s">
        <v>9</v>
      </c>
      <c r="AL17" s="162" t="s">
        <v>9</v>
      </c>
      <c r="AM17" s="162" t="s">
        <v>9</v>
      </c>
      <c r="AN17" s="162" t="s">
        <v>9</v>
      </c>
      <c r="AO17" s="162" t="s">
        <v>9</v>
      </c>
      <c r="AP17" s="162" t="s">
        <v>9</v>
      </c>
      <c r="AQ17" s="162" t="s">
        <v>9</v>
      </c>
      <c r="AR17" s="162" t="s">
        <v>9</v>
      </c>
      <c r="AS17" s="162" t="s">
        <v>9</v>
      </c>
      <c r="AT17" s="162" t="s">
        <v>9</v>
      </c>
      <c r="AU17" s="162" t="s">
        <v>9</v>
      </c>
      <c r="AV17" s="162" t="s">
        <v>9</v>
      </c>
      <c r="AW17" s="162" t="s">
        <v>9</v>
      </c>
      <c r="AX17" s="162" t="s">
        <v>9</v>
      </c>
      <c r="AY17" s="162" t="s">
        <v>9</v>
      </c>
      <c r="AZ17" s="162" t="s">
        <v>9</v>
      </c>
      <c r="BA17" s="162" t="s">
        <v>9</v>
      </c>
      <c r="BB17" s="162" t="s">
        <v>9</v>
      </c>
      <c r="BC17" s="162" t="s">
        <v>9</v>
      </c>
      <c r="BD17" s="162" t="s">
        <v>9</v>
      </c>
      <c r="BE17" s="162" t="s">
        <v>9</v>
      </c>
      <c r="BF17" s="162" t="s">
        <v>9</v>
      </c>
      <c r="BG17" s="162" t="s">
        <v>9</v>
      </c>
      <c r="BH17" s="162" t="s">
        <v>9</v>
      </c>
      <c r="BI17" s="162" t="s">
        <v>9</v>
      </c>
      <c r="BJ17" s="162" t="s">
        <v>9</v>
      </c>
      <c r="BK17" s="162" t="s">
        <v>9</v>
      </c>
      <c r="BL17" s="162" t="s">
        <v>9</v>
      </c>
      <c r="BM17" s="162" t="s">
        <v>9</v>
      </c>
      <c r="BN17" s="162" t="s">
        <v>9</v>
      </c>
      <c r="BO17" s="162" t="s">
        <v>9</v>
      </c>
      <c r="BP17" s="162" t="s">
        <v>9</v>
      </c>
      <c r="BQ17" s="162" t="s">
        <v>9</v>
      </c>
      <c r="BR17" s="162" t="s">
        <v>9</v>
      </c>
      <c r="BS17" s="194"/>
    </row>
    <row r="18" spans="1:71" hidden="1">
      <c r="A18" s="145" t="s">
        <v>189</v>
      </c>
      <c r="B18" s="145" t="s">
        <v>47</v>
      </c>
      <c r="C18" s="145">
        <v>3</v>
      </c>
      <c r="D18" s="146" t="s">
        <v>607</v>
      </c>
      <c r="E18" s="147" t="str">
        <f>IF(COUNTIF(Measure_62443_3_3[[#This Row],[G 0.13 Interception of Compromising Interference Signals]:[OPS.1.1.3.8 Manipulation of data and tools during patch and change management]],"P")&gt;0,"X","")</f>
        <v/>
      </c>
      <c r="F18" s="147" t="str">
        <f>IF(OR(Measure_62443_3_3[[#This Row],[Requirement Selected (Prefulfilled)]]="X",Measure_62443_3_3[[#This Row],[Relevance revoked]]="Yes"),"X","")</f>
        <v/>
      </c>
      <c r="G18" s="147" t="str">
        <f>IF(COUNTIF(Measure_62443_3_3[[#This Row],[G 0.13 Interception of Compromising Interference Signals]:[OPS.1.1.3.8 Manipulation of data and tools during patch and change management]],"P")&gt;0,"X","")</f>
        <v/>
      </c>
      <c r="H18" s="147" t="str">
        <f>IF(OR(Measure_62443_3_3[[#This Row],[Requirement Selected (Prefulfilled + Mitigating)]]="X",Measure_62443_3_3[[#This Row],[Relevance revoked]]="Yes"),"X","")</f>
        <v/>
      </c>
      <c r="I18" s="148" t="str">
        <f>IF(VLOOKUP(Measure_62443_3_3[[#This Row],[FR]],'SL-T'!$A$5:$B$11,2,FALSE)&gt;=Measure_62443_3_3[[#This Row],[lowest SL-T]],"X","")</f>
        <v/>
      </c>
      <c r="J18" s="160" t="s">
        <v>90</v>
      </c>
      <c r="K18" s="161"/>
      <c r="L18" s="162" t="s">
        <v>9</v>
      </c>
      <c r="M18" s="162" t="s">
        <v>9</v>
      </c>
      <c r="N18" s="162" t="s">
        <v>9</v>
      </c>
      <c r="O18" s="162" t="s">
        <v>9</v>
      </c>
      <c r="P18" s="162" t="s">
        <v>9</v>
      </c>
      <c r="Q18" s="162" t="s">
        <v>9</v>
      </c>
      <c r="R18" s="162" t="s">
        <v>9</v>
      </c>
      <c r="S18" s="162" t="s">
        <v>9</v>
      </c>
      <c r="T18" s="162" t="s">
        <v>9</v>
      </c>
      <c r="U18" s="162" t="s">
        <v>9</v>
      </c>
      <c r="V18" s="162" t="s">
        <v>9</v>
      </c>
      <c r="W18" s="162" t="s">
        <v>9</v>
      </c>
      <c r="X18" s="162" t="s">
        <v>9</v>
      </c>
      <c r="Y18" s="162" t="s">
        <v>9</v>
      </c>
      <c r="Z18" s="162" t="s">
        <v>9</v>
      </c>
      <c r="AA18" s="162" t="s">
        <v>9</v>
      </c>
      <c r="AB18" s="162" t="s">
        <v>9</v>
      </c>
      <c r="AC18" s="162" t="s">
        <v>9</v>
      </c>
      <c r="AD18" s="162" t="s">
        <v>9</v>
      </c>
      <c r="AE18" s="162" t="s">
        <v>9</v>
      </c>
      <c r="AF18" s="162" t="s">
        <v>9</v>
      </c>
      <c r="AG18" s="162" t="s">
        <v>9</v>
      </c>
      <c r="AH18" s="162" t="s">
        <v>9</v>
      </c>
      <c r="AI18" s="162" t="s">
        <v>9</v>
      </c>
      <c r="AJ18" s="162" t="s">
        <v>9</v>
      </c>
      <c r="AK18" s="162" t="s">
        <v>9</v>
      </c>
      <c r="AL18" s="162" t="s">
        <v>9</v>
      </c>
      <c r="AM18" s="162" t="s">
        <v>9</v>
      </c>
      <c r="AN18" s="162" t="s">
        <v>9</v>
      </c>
      <c r="AO18" s="162" t="s">
        <v>9</v>
      </c>
      <c r="AP18" s="162" t="s">
        <v>9</v>
      </c>
      <c r="AQ18" s="162" t="s">
        <v>9</v>
      </c>
      <c r="AR18" s="162" t="s">
        <v>9</v>
      </c>
      <c r="AS18" s="162" t="s">
        <v>9</v>
      </c>
      <c r="AT18" s="162" t="s">
        <v>9</v>
      </c>
      <c r="AU18" s="162" t="s">
        <v>9</v>
      </c>
      <c r="AV18" s="162" t="s">
        <v>9</v>
      </c>
      <c r="AW18" s="162" t="s">
        <v>9</v>
      </c>
      <c r="AX18" s="162" t="s">
        <v>9</v>
      </c>
      <c r="AY18" s="162" t="s">
        <v>9</v>
      </c>
      <c r="AZ18" s="162" t="s">
        <v>9</v>
      </c>
      <c r="BA18" s="162" t="s">
        <v>9</v>
      </c>
      <c r="BB18" s="162" t="s">
        <v>9</v>
      </c>
      <c r="BC18" s="162" t="s">
        <v>9</v>
      </c>
      <c r="BD18" s="162" t="s">
        <v>9</v>
      </c>
      <c r="BE18" s="162" t="s">
        <v>9</v>
      </c>
      <c r="BF18" s="162" t="s">
        <v>9</v>
      </c>
      <c r="BG18" s="162" t="s">
        <v>9</v>
      </c>
      <c r="BH18" s="162" t="s">
        <v>9</v>
      </c>
      <c r="BI18" s="162" t="s">
        <v>9</v>
      </c>
      <c r="BJ18" s="162" t="s">
        <v>9</v>
      </c>
      <c r="BK18" s="162" t="s">
        <v>9</v>
      </c>
      <c r="BL18" s="162" t="s">
        <v>9</v>
      </c>
      <c r="BM18" s="162" t="s">
        <v>9</v>
      </c>
      <c r="BN18" s="162" t="s">
        <v>9</v>
      </c>
      <c r="BO18" s="162" t="s">
        <v>9</v>
      </c>
      <c r="BP18" s="162" t="s">
        <v>9</v>
      </c>
      <c r="BQ18" s="162" t="s">
        <v>9</v>
      </c>
      <c r="BR18" s="162" t="s">
        <v>9</v>
      </c>
      <c r="BS18" s="194"/>
    </row>
    <row r="19" spans="1:71" hidden="1">
      <c r="A19" s="145" t="s">
        <v>190</v>
      </c>
      <c r="B19" s="145" t="s">
        <v>47</v>
      </c>
      <c r="C19" s="145">
        <v>4</v>
      </c>
      <c r="D19" s="146" t="s">
        <v>607</v>
      </c>
      <c r="E19" s="147" t="str">
        <f>IF(COUNTIF(Measure_62443_3_3[[#This Row],[G 0.13 Interception of Compromising Interference Signals]:[OPS.1.1.3.8 Manipulation of data and tools during patch and change management]],"P")&gt;0,"X","")</f>
        <v/>
      </c>
      <c r="F19" s="147" t="str">
        <f>IF(OR(Measure_62443_3_3[[#This Row],[Requirement Selected (Prefulfilled)]]="X",Measure_62443_3_3[[#This Row],[Relevance revoked]]="Yes"),"X","")</f>
        <v/>
      </c>
      <c r="G19" s="147" t="str">
        <f>IF(COUNTIF(Measure_62443_3_3[[#This Row],[G 0.13 Interception of Compromising Interference Signals]:[OPS.1.1.3.8 Manipulation of data and tools during patch and change management]],"P")&gt;0,"X","")</f>
        <v/>
      </c>
      <c r="H19" s="147" t="str">
        <f>IF(OR(Measure_62443_3_3[[#This Row],[Requirement Selected (Prefulfilled + Mitigating)]]="X",Measure_62443_3_3[[#This Row],[Relevance revoked]]="Yes"),"X","")</f>
        <v/>
      </c>
      <c r="I19" s="148" t="str">
        <f>IF(VLOOKUP(Measure_62443_3_3[[#This Row],[FR]],'SL-T'!$A$5:$B$11,2,FALSE)&gt;=Measure_62443_3_3[[#This Row],[lowest SL-T]],"X","")</f>
        <v/>
      </c>
      <c r="J19" s="160" t="s">
        <v>90</v>
      </c>
      <c r="K19" s="161"/>
      <c r="L19" s="162" t="s">
        <v>9</v>
      </c>
      <c r="M19" s="162" t="s">
        <v>9</v>
      </c>
      <c r="N19" s="162" t="s">
        <v>9</v>
      </c>
      <c r="O19" s="162" t="s">
        <v>9</v>
      </c>
      <c r="P19" s="162" t="s">
        <v>9</v>
      </c>
      <c r="Q19" s="162" t="s">
        <v>9</v>
      </c>
      <c r="R19" s="162" t="s">
        <v>9</v>
      </c>
      <c r="S19" s="162" t="s">
        <v>9</v>
      </c>
      <c r="T19" s="162" t="s">
        <v>9</v>
      </c>
      <c r="U19" s="162" t="s">
        <v>9</v>
      </c>
      <c r="V19" s="162" t="s">
        <v>9</v>
      </c>
      <c r="W19" s="162" t="s">
        <v>9</v>
      </c>
      <c r="X19" s="162" t="s">
        <v>9</v>
      </c>
      <c r="Y19" s="162" t="s">
        <v>9</v>
      </c>
      <c r="Z19" s="162" t="s">
        <v>9</v>
      </c>
      <c r="AA19" s="162" t="s">
        <v>9</v>
      </c>
      <c r="AB19" s="162" t="s">
        <v>9</v>
      </c>
      <c r="AC19" s="162" t="s">
        <v>9</v>
      </c>
      <c r="AD19" s="162" t="s">
        <v>9</v>
      </c>
      <c r="AE19" s="162" t="s">
        <v>9</v>
      </c>
      <c r="AF19" s="162" t="s">
        <v>9</v>
      </c>
      <c r="AG19" s="162" t="s">
        <v>9</v>
      </c>
      <c r="AH19" s="162" t="s">
        <v>9</v>
      </c>
      <c r="AI19" s="162" t="s">
        <v>9</v>
      </c>
      <c r="AJ19" s="162" t="s">
        <v>9</v>
      </c>
      <c r="AK19" s="162" t="s">
        <v>9</v>
      </c>
      <c r="AL19" s="162" t="s">
        <v>9</v>
      </c>
      <c r="AM19" s="162" t="s">
        <v>9</v>
      </c>
      <c r="AN19" s="162" t="s">
        <v>9</v>
      </c>
      <c r="AO19" s="162" t="s">
        <v>9</v>
      </c>
      <c r="AP19" s="162" t="s">
        <v>9</v>
      </c>
      <c r="AQ19" s="162" t="s">
        <v>9</v>
      </c>
      <c r="AR19" s="162" t="s">
        <v>9</v>
      </c>
      <c r="AS19" s="162" t="s">
        <v>9</v>
      </c>
      <c r="AT19" s="162" t="s">
        <v>9</v>
      </c>
      <c r="AU19" s="162" t="s">
        <v>9</v>
      </c>
      <c r="AV19" s="162" t="s">
        <v>9</v>
      </c>
      <c r="AW19" s="162" t="s">
        <v>9</v>
      </c>
      <c r="AX19" s="162" t="s">
        <v>9</v>
      </c>
      <c r="AY19" s="162" t="s">
        <v>9</v>
      </c>
      <c r="AZ19" s="162" t="s">
        <v>9</v>
      </c>
      <c r="BA19" s="162" t="s">
        <v>9</v>
      </c>
      <c r="BB19" s="162" t="s">
        <v>9</v>
      </c>
      <c r="BC19" s="162" t="s">
        <v>9</v>
      </c>
      <c r="BD19" s="162" t="s">
        <v>9</v>
      </c>
      <c r="BE19" s="162" t="s">
        <v>9</v>
      </c>
      <c r="BF19" s="162" t="s">
        <v>9</v>
      </c>
      <c r="BG19" s="162" t="s">
        <v>9</v>
      </c>
      <c r="BH19" s="162" t="s">
        <v>9</v>
      </c>
      <c r="BI19" s="162" t="s">
        <v>9</v>
      </c>
      <c r="BJ19" s="162" t="s">
        <v>9</v>
      </c>
      <c r="BK19" s="162" t="s">
        <v>9</v>
      </c>
      <c r="BL19" s="162" t="s">
        <v>9</v>
      </c>
      <c r="BM19" s="162" t="s">
        <v>9</v>
      </c>
      <c r="BN19" s="162" t="s">
        <v>9</v>
      </c>
      <c r="BO19" s="162" t="s">
        <v>9</v>
      </c>
      <c r="BP19" s="162" t="s">
        <v>9</v>
      </c>
      <c r="BQ19" s="162" t="s">
        <v>9</v>
      </c>
      <c r="BR19" s="162" t="s">
        <v>9</v>
      </c>
      <c r="BS19" s="194"/>
    </row>
    <row r="20" spans="1:71" hidden="1">
      <c r="A20" s="145" t="s">
        <v>568</v>
      </c>
      <c r="B20" s="145" t="s">
        <v>47</v>
      </c>
      <c r="C20" s="145">
        <v>2</v>
      </c>
      <c r="D20" s="146" t="s">
        <v>607</v>
      </c>
      <c r="E20" s="147" t="str">
        <f>IF(COUNTIF(Measure_62443_3_3[[#This Row],[G 0.13 Interception of Compromising Interference Signals]:[OPS.1.1.3.8 Manipulation of data and tools during patch and change management]],"P")&gt;0,"X","")</f>
        <v/>
      </c>
      <c r="F20" s="147" t="str">
        <f>IF(OR(Measure_62443_3_3[[#This Row],[Requirement Selected (Prefulfilled)]]="X",Measure_62443_3_3[[#This Row],[Relevance revoked]]="Yes"),"X","")</f>
        <v/>
      </c>
      <c r="G20" s="147" t="str">
        <f>IF(COUNTIF(Measure_62443_3_3[[#This Row],[G 0.13 Interception of Compromising Interference Signals]:[OPS.1.1.3.8 Manipulation of data and tools during patch and change management]],"P")&gt;0,"X","")</f>
        <v/>
      </c>
      <c r="H20" s="147" t="str">
        <f>IF(OR(Measure_62443_3_3[[#This Row],[Requirement Selected (Prefulfilled + Mitigating)]]="X",Measure_62443_3_3[[#This Row],[Relevance revoked]]="Yes"),"X","")</f>
        <v/>
      </c>
      <c r="I20" s="148" t="str">
        <f>IF(VLOOKUP(Measure_62443_3_3[[#This Row],[FR]],'SL-T'!$A$5:$B$11,2,FALSE)&gt;=Measure_62443_3_3[[#This Row],[lowest SL-T]],"X","")</f>
        <v/>
      </c>
      <c r="J20" s="160" t="s">
        <v>90</v>
      </c>
      <c r="K20" s="161"/>
      <c r="L20" s="162" t="s">
        <v>9</v>
      </c>
      <c r="M20" s="162" t="s">
        <v>9</v>
      </c>
      <c r="N20" s="162" t="s">
        <v>9</v>
      </c>
      <c r="O20" s="162" t="s">
        <v>9</v>
      </c>
      <c r="P20" s="162" t="s">
        <v>9</v>
      </c>
      <c r="Q20" s="162" t="s">
        <v>9</v>
      </c>
      <c r="R20" s="162" t="s">
        <v>9</v>
      </c>
      <c r="S20" s="162" t="s">
        <v>9</v>
      </c>
      <c r="T20" s="162" t="s">
        <v>9</v>
      </c>
      <c r="U20" s="162" t="s">
        <v>9</v>
      </c>
      <c r="V20" s="162" t="s">
        <v>9</v>
      </c>
      <c r="W20" s="162" t="s">
        <v>9</v>
      </c>
      <c r="X20" s="162" t="s">
        <v>9</v>
      </c>
      <c r="Y20" s="162" t="s">
        <v>9</v>
      </c>
      <c r="Z20" s="162" t="s">
        <v>9</v>
      </c>
      <c r="AA20" s="162" t="s">
        <v>9</v>
      </c>
      <c r="AB20" s="162" t="s">
        <v>9</v>
      </c>
      <c r="AC20" s="162" t="s">
        <v>9</v>
      </c>
      <c r="AD20" s="162" t="s">
        <v>9</v>
      </c>
      <c r="AE20" s="162" t="s">
        <v>9</v>
      </c>
      <c r="AF20" s="162" t="s">
        <v>9</v>
      </c>
      <c r="AG20" s="162" t="s">
        <v>9</v>
      </c>
      <c r="AH20" s="162" t="s">
        <v>9</v>
      </c>
      <c r="AI20" s="162" t="s">
        <v>9</v>
      </c>
      <c r="AJ20" s="162" t="s">
        <v>9</v>
      </c>
      <c r="AK20" s="162" t="s">
        <v>9</v>
      </c>
      <c r="AL20" s="162" t="s">
        <v>9</v>
      </c>
      <c r="AM20" s="162" t="s">
        <v>9</v>
      </c>
      <c r="AN20" s="162" t="s">
        <v>9</v>
      </c>
      <c r="AO20" s="162" t="s">
        <v>9</v>
      </c>
      <c r="AP20" s="162" t="s">
        <v>9</v>
      </c>
      <c r="AQ20" s="162" t="s">
        <v>9</v>
      </c>
      <c r="AR20" s="162" t="s">
        <v>9</v>
      </c>
      <c r="AS20" s="162" t="s">
        <v>9</v>
      </c>
      <c r="AT20" s="162" t="s">
        <v>9</v>
      </c>
      <c r="AU20" s="162" t="s">
        <v>9</v>
      </c>
      <c r="AV20" s="162" t="s">
        <v>9</v>
      </c>
      <c r="AW20" s="162" t="s">
        <v>9</v>
      </c>
      <c r="AX20" s="162" t="s">
        <v>9</v>
      </c>
      <c r="AY20" s="162" t="s">
        <v>9</v>
      </c>
      <c r="AZ20" s="162" t="s">
        <v>9</v>
      </c>
      <c r="BA20" s="162" t="s">
        <v>9</v>
      </c>
      <c r="BB20" s="162" t="s">
        <v>9</v>
      </c>
      <c r="BC20" s="162" t="s">
        <v>9</v>
      </c>
      <c r="BD20" s="162" t="s">
        <v>9</v>
      </c>
      <c r="BE20" s="162" t="s">
        <v>9</v>
      </c>
      <c r="BF20" s="162" t="s">
        <v>9</v>
      </c>
      <c r="BG20" s="162" t="s">
        <v>9</v>
      </c>
      <c r="BH20" s="162" t="s">
        <v>9</v>
      </c>
      <c r="BI20" s="162" t="s">
        <v>9</v>
      </c>
      <c r="BJ20" s="162" t="s">
        <v>9</v>
      </c>
      <c r="BK20" s="162" t="s">
        <v>9</v>
      </c>
      <c r="BL20" s="162" t="s">
        <v>9</v>
      </c>
      <c r="BM20" s="162" t="s">
        <v>9</v>
      </c>
      <c r="BN20" s="162" t="s">
        <v>9</v>
      </c>
      <c r="BO20" s="162" t="s">
        <v>9</v>
      </c>
      <c r="BP20" s="162" t="s">
        <v>9</v>
      </c>
      <c r="BQ20" s="162" t="s">
        <v>9</v>
      </c>
      <c r="BR20" s="162" t="s">
        <v>9</v>
      </c>
      <c r="BS20" s="194"/>
    </row>
    <row r="21" spans="1:71" hidden="1">
      <c r="A21" s="145" t="s">
        <v>191</v>
      </c>
      <c r="B21" s="145" t="s">
        <v>47</v>
      </c>
      <c r="C21" s="145">
        <v>2</v>
      </c>
      <c r="D21" s="146" t="s">
        <v>607</v>
      </c>
      <c r="E21" s="147" t="str">
        <f>IF(COUNTIF(Measure_62443_3_3[[#This Row],[G 0.13 Interception of Compromising Interference Signals]:[OPS.1.1.3.8 Manipulation of data and tools during patch and change management]],"P")&gt;0,"X","")</f>
        <v/>
      </c>
      <c r="F21" s="147" t="str">
        <f>IF(OR(Measure_62443_3_3[[#This Row],[Requirement Selected (Prefulfilled)]]="X",Measure_62443_3_3[[#This Row],[Relevance revoked]]="Yes"),"X","")</f>
        <v/>
      </c>
      <c r="G21" s="147" t="str">
        <f>IF(COUNTIF(Measure_62443_3_3[[#This Row],[G 0.13 Interception of Compromising Interference Signals]:[OPS.1.1.3.8 Manipulation of data and tools during patch and change management]],"P")&gt;0,"X","")</f>
        <v/>
      </c>
      <c r="H21" s="147" t="str">
        <f>IF(OR(Measure_62443_3_3[[#This Row],[Requirement Selected (Prefulfilled + Mitigating)]]="X",Measure_62443_3_3[[#This Row],[Relevance revoked]]="Yes"),"X","")</f>
        <v/>
      </c>
      <c r="I21" s="148" t="str">
        <f>IF(VLOOKUP(Measure_62443_3_3[[#This Row],[FR]],'SL-T'!$A$5:$B$11,2,FALSE)&gt;=Measure_62443_3_3[[#This Row],[lowest SL-T]],"X","")</f>
        <v/>
      </c>
      <c r="J21" s="160" t="s">
        <v>90</v>
      </c>
      <c r="K21" s="161"/>
      <c r="L21" s="162" t="s">
        <v>9</v>
      </c>
      <c r="M21" s="162" t="s">
        <v>9</v>
      </c>
      <c r="N21" s="162" t="s">
        <v>9</v>
      </c>
      <c r="O21" s="162" t="s">
        <v>9</v>
      </c>
      <c r="P21" s="162" t="s">
        <v>9</v>
      </c>
      <c r="Q21" s="162" t="s">
        <v>9</v>
      </c>
      <c r="R21" s="162" t="s">
        <v>9</v>
      </c>
      <c r="S21" s="162" t="s">
        <v>9</v>
      </c>
      <c r="T21" s="162" t="s">
        <v>9</v>
      </c>
      <c r="U21" s="162" t="s">
        <v>9</v>
      </c>
      <c r="V21" s="162" t="s">
        <v>9</v>
      </c>
      <c r="W21" s="162" t="s">
        <v>9</v>
      </c>
      <c r="X21" s="162" t="s">
        <v>9</v>
      </c>
      <c r="Y21" s="162" t="s">
        <v>9</v>
      </c>
      <c r="Z21" s="162" t="s">
        <v>9</v>
      </c>
      <c r="AA21" s="162" t="s">
        <v>9</v>
      </c>
      <c r="AB21" s="162" t="s">
        <v>9</v>
      </c>
      <c r="AC21" s="162" t="s">
        <v>9</v>
      </c>
      <c r="AD21" s="162" t="s">
        <v>9</v>
      </c>
      <c r="AE21" s="162" t="s">
        <v>9</v>
      </c>
      <c r="AF21" s="162" t="s">
        <v>9</v>
      </c>
      <c r="AG21" s="162" t="s">
        <v>9</v>
      </c>
      <c r="AH21" s="162" t="s">
        <v>9</v>
      </c>
      <c r="AI21" s="162" t="s">
        <v>9</v>
      </c>
      <c r="AJ21" s="162" t="s">
        <v>9</v>
      </c>
      <c r="AK21" s="162" t="s">
        <v>9</v>
      </c>
      <c r="AL21" s="162" t="s">
        <v>9</v>
      </c>
      <c r="AM21" s="162" t="s">
        <v>9</v>
      </c>
      <c r="AN21" s="162" t="s">
        <v>9</v>
      </c>
      <c r="AO21" s="162" t="s">
        <v>9</v>
      </c>
      <c r="AP21" s="162" t="s">
        <v>9</v>
      </c>
      <c r="AQ21" s="162" t="s">
        <v>9</v>
      </c>
      <c r="AR21" s="162" t="s">
        <v>9</v>
      </c>
      <c r="AS21" s="162" t="s">
        <v>9</v>
      </c>
      <c r="AT21" s="162" t="s">
        <v>9</v>
      </c>
      <c r="AU21" s="162" t="s">
        <v>9</v>
      </c>
      <c r="AV21" s="162" t="s">
        <v>9</v>
      </c>
      <c r="AW21" s="162" t="s">
        <v>9</v>
      </c>
      <c r="AX21" s="162" t="s">
        <v>9</v>
      </c>
      <c r="AY21" s="162" t="s">
        <v>9</v>
      </c>
      <c r="AZ21" s="162" t="s">
        <v>9</v>
      </c>
      <c r="BA21" s="162" t="s">
        <v>9</v>
      </c>
      <c r="BB21" s="162" t="s">
        <v>9</v>
      </c>
      <c r="BC21" s="162" t="s">
        <v>9</v>
      </c>
      <c r="BD21" s="162" t="s">
        <v>9</v>
      </c>
      <c r="BE21" s="162" t="s">
        <v>9</v>
      </c>
      <c r="BF21" s="162" t="s">
        <v>9</v>
      </c>
      <c r="BG21" s="162" t="s">
        <v>9</v>
      </c>
      <c r="BH21" s="162" t="s">
        <v>9</v>
      </c>
      <c r="BI21" s="162" t="s">
        <v>9</v>
      </c>
      <c r="BJ21" s="162" t="s">
        <v>9</v>
      </c>
      <c r="BK21" s="162" t="s">
        <v>9</v>
      </c>
      <c r="BL21" s="162" t="s">
        <v>9</v>
      </c>
      <c r="BM21" s="162" t="s">
        <v>9</v>
      </c>
      <c r="BN21" s="162" t="s">
        <v>9</v>
      </c>
      <c r="BO21" s="162" t="s">
        <v>9</v>
      </c>
      <c r="BP21" s="162" t="s">
        <v>9</v>
      </c>
      <c r="BQ21" s="162" t="s">
        <v>9</v>
      </c>
      <c r="BR21" s="162" t="s">
        <v>9</v>
      </c>
      <c r="BS21" s="194"/>
    </row>
    <row r="22" spans="1:71" hidden="1">
      <c r="A22" s="145" t="s">
        <v>192</v>
      </c>
      <c r="B22" s="145" t="s">
        <v>47</v>
      </c>
      <c r="C22" s="145">
        <v>3</v>
      </c>
      <c r="D22" s="146" t="s">
        <v>607</v>
      </c>
      <c r="E22" s="147" t="str">
        <f>IF(COUNTIF(Measure_62443_3_3[[#This Row],[G 0.13 Interception of Compromising Interference Signals]:[OPS.1.1.3.8 Manipulation of data and tools during patch and change management]],"P")&gt;0,"X","")</f>
        <v/>
      </c>
      <c r="F22" s="147" t="str">
        <f>IF(OR(Measure_62443_3_3[[#This Row],[Requirement Selected (Prefulfilled)]]="X",Measure_62443_3_3[[#This Row],[Relevance revoked]]="Yes"),"X","")</f>
        <v/>
      </c>
      <c r="G22" s="147" t="str">
        <f>IF(COUNTIF(Measure_62443_3_3[[#This Row],[G 0.13 Interception of Compromising Interference Signals]:[OPS.1.1.3.8 Manipulation of data and tools during patch and change management]],"P")&gt;0,"X","")</f>
        <v/>
      </c>
      <c r="H22" s="147" t="str">
        <f>IF(OR(Measure_62443_3_3[[#This Row],[Requirement Selected (Prefulfilled + Mitigating)]]="X",Measure_62443_3_3[[#This Row],[Relevance revoked]]="Yes"),"X","")</f>
        <v/>
      </c>
      <c r="I22" s="148" t="str">
        <f>IF(VLOOKUP(Measure_62443_3_3[[#This Row],[FR]],'SL-T'!$A$5:$B$11,2,FALSE)&gt;=Measure_62443_3_3[[#This Row],[lowest SL-T]],"X","")</f>
        <v/>
      </c>
      <c r="J22" s="160" t="s">
        <v>90</v>
      </c>
      <c r="K22" s="161"/>
      <c r="L22" s="162" t="s">
        <v>9</v>
      </c>
      <c r="M22" s="162" t="s">
        <v>9</v>
      </c>
      <c r="N22" s="162" t="s">
        <v>9</v>
      </c>
      <c r="O22" s="162" t="s">
        <v>9</v>
      </c>
      <c r="P22" s="162" t="s">
        <v>9</v>
      </c>
      <c r="Q22" s="162" t="s">
        <v>9</v>
      </c>
      <c r="R22" s="162" t="s">
        <v>9</v>
      </c>
      <c r="S22" s="162" t="s">
        <v>9</v>
      </c>
      <c r="T22" s="162" t="s">
        <v>9</v>
      </c>
      <c r="U22" s="162" t="s">
        <v>9</v>
      </c>
      <c r="V22" s="162" t="s">
        <v>9</v>
      </c>
      <c r="W22" s="162" t="s">
        <v>9</v>
      </c>
      <c r="X22" s="162" t="s">
        <v>9</v>
      </c>
      <c r="Y22" s="162" t="s">
        <v>9</v>
      </c>
      <c r="Z22" s="162" t="s">
        <v>9</v>
      </c>
      <c r="AA22" s="162" t="s">
        <v>9</v>
      </c>
      <c r="AB22" s="162" t="s">
        <v>9</v>
      </c>
      <c r="AC22" s="162" t="s">
        <v>9</v>
      </c>
      <c r="AD22" s="162" t="s">
        <v>9</v>
      </c>
      <c r="AE22" s="162" t="s">
        <v>9</v>
      </c>
      <c r="AF22" s="162" t="s">
        <v>9</v>
      </c>
      <c r="AG22" s="162" t="s">
        <v>9</v>
      </c>
      <c r="AH22" s="162" t="s">
        <v>9</v>
      </c>
      <c r="AI22" s="162" t="s">
        <v>9</v>
      </c>
      <c r="AJ22" s="162" t="s">
        <v>9</v>
      </c>
      <c r="AK22" s="162" t="s">
        <v>9</v>
      </c>
      <c r="AL22" s="162" t="s">
        <v>9</v>
      </c>
      <c r="AM22" s="162" t="s">
        <v>9</v>
      </c>
      <c r="AN22" s="162" t="s">
        <v>9</v>
      </c>
      <c r="AO22" s="162" t="s">
        <v>9</v>
      </c>
      <c r="AP22" s="162" t="s">
        <v>9</v>
      </c>
      <c r="AQ22" s="162" t="s">
        <v>9</v>
      </c>
      <c r="AR22" s="162" t="s">
        <v>9</v>
      </c>
      <c r="AS22" s="162" t="s">
        <v>9</v>
      </c>
      <c r="AT22" s="162" t="s">
        <v>9</v>
      </c>
      <c r="AU22" s="162" t="s">
        <v>9</v>
      </c>
      <c r="AV22" s="162" t="s">
        <v>9</v>
      </c>
      <c r="AW22" s="162" t="s">
        <v>9</v>
      </c>
      <c r="AX22" s="162" t="s">
        <v>9</v>
      </c>
      <c r="AY22" s="162" t="s">
        <v>9</v>
      </c>
      <c r="AZ22" s="162" t="s">
        <v>9</v>
      </c>
      <c r="BA22" s="162" t="s">
        <v>9</v>
      </c>
      <c r="BB22" s="162" t="s">
        <v>9</v>
      </c>
      <c r="BC22" s="162" t="s">
        <v>9</v>
      </c>
      <c r="BD22" s="162" t="s">
        <v>9</v>
      </c>
      <c r="BE22" s="162" t="s">
        <v>9</v>
      </c>
      <c r="BF22" s="162" t="s">
        <v>9</v>
      </c>
      <c r="BG22" s="162" t="s">
        <v>9</v>
      </c>
      <c r="BH22" s="162" t="s">
        <v>9</v>
      </c>
      <c r="BI22" s="162" t="s">
        <v>9</v>
      </c>
      <c r="BJ22" s="162" t="s">
        <v>9</v>
      </c>
      <c r="BK22" s="162" t="s">
        <v>9</v>
      </c>
      <c r="BL22" s="162" t="s">
        <v>9</v>
      </c>
      <c r="BM22" s="162" t="s">
        <v>9</v>
      </c>
      <c r="BN22" s="162" t="s">
        <v>9</v>
      </c>
      <c r="BO22" s="162" t="s">
        <v>9</v>
      </c>
      <c r="BP22" s="162" t="s">
        <v>9</v>
      </c>
      <c r="BQ22" s="162" t="s">
        <v>9</v>
      </c>
      <c r="BR22" s="162" t="s">
        <v>9</v>
      </c>
      <c r="BS22" s="194"/>
    </row>
    <row r="23" spans="1:71">
      <c r="A23" s="145" t="s">
        <v>193</v>
      </c>
      <c r="B23" s="145" t="s">
        <v>47</v>
      </c>
      <c r="C23" s="145">
        <v>1</v>
      </c>
      <c r="D23" s="146" t="s">
        <v>607</v>
      </c>
      <c r="E23" s="147" t="str">
        <f>IF(COUNTIF(Measure_62443_3_3[[#This Row],[G 0.13 Interception of Compromising Interference Signals]:[OPS.1.1.3.8 Manipulation of data and tools during patch and change management]],"P")&gt;0,"X","")</f>
        <v/>
      </c>
      <c r="F23" s="147" t="str">
        <f>IF(OR(Measure_62443_3_3[[#This Row],[Requirement Selected (Prefulfilled)]]="X",Measure_62443_3_3[[#This Row],[Relevance revoked]]="Yes"),"X","")</f>
        <v/>
      </c>
      <c r="G23" s="147" t="str">
        <f>IF(COUNTIF(Measure_62443_3_3[[#This Row],[G 0.13 Interception of Compromising Interference Signals]:[OPS.1.1.3.8 Manipulation of data and tools during patch and change management]],"P")&gt;0,"X","")</f>
        <v/>
      </c>
      <c r="H23" s="147" t="str">
        <f>IF(OR(Measure_62443_3_3[[#This Row],[Requirement Selected (Prefulfilled + Mitigating)]]="X",Measure_62443_3_3[[#This Row],[Relevance revoked]]="Yes"),"X","")</f>
        <v/>
      </c>
      <c r="I23" s="148" t="str">
        <f>IF(VLOOKUP(Measure_62443_3_3[[#This Row],[FR]],'SL-T'!$A$5:$B$11,2,FALSE)&gt;=Measure_62443_3_3[[#This Row],[lowest SL-T]],"X","")</f>
        <v>X</v>
      </c>
      <c r="J23" s="160" t="s">
        <v>90</v>
      </c>
      <c r="K23" s="161"/>
      <c r="L23" s="162" t="s">
        <v>9</v>
      </c>
      <c r="M23" s="162" t="s">
        <v>9</v>
      </c>
      <c r="N23" s="162" t="s">
        <v>9</v>
      </c>
      <c r="O23" s="162" t="s">
        <v>9</v>
      </c>
      <c r="P23" s="162" t="s">
        <v>9</v>
      </c>
      <c r="Q23" s="162" t="s">
        <v>9</v>
      </c>
      <c r="R23" s="162" t="s">
        <v>9</v>
      </c>
      <c r="S23" s="162" t="s">
        <v>9</v>
      </c>
      <c r="T23" s="162" t="s">
        <v>9</v>
      </c>
      <c r="U23" s="162" t="s">
        <v>9</v>
      </c>
      <c r="V23" s="162" t="s">
        <v>9</v>
      </c>
      <c r="W23" s="162" t="s">
        <v>9</v>
      </c>
      <c r="X23" s="162" t="s">
        <v>9</v>
      </c>
      <c r="Y23" s="162" t="s">
        <v>9</v>
      </c>
      <c r="Z23" s="162" t="s">
        <v>9</v>
      </c>
      <c r="AA23" s="162" t="s">
        <v>9</v>
      </c>
      <c r="AB23" s="162" t="s">
        <v>9</v>
      </c>
      <c r="AC23" s="162" t="s">
        <v>9</v>
      </c>
      <c r="AD23" s="162" t="s">
        <v>9</v>
      </c>
      <c r="AE23" s="162" t="s">
        <v>9</v>
      </c>
      <c r="AF23" s="162" t="s">
        <v>9</v>
      </c>
      <c r="AG23" s="162" t="s">
        <v>9</v>
      </c>
      <c r="AH23" s="162" t="s">
        <v>9</v>
      </c>
      <c r="AI23" s="162" t="s">
        <v>9</v>
      </c>
      <c r="AJ23" s="162" t="s">
        <v>9</v>
      </c>
      <c r="AK23" s="162" t="s">
        <v>9</v>
      </c>
      <c r="AL23" s="162" t="s">
        <v>9</v>
      </c>
      <c r="AM23" s="162" t="s">
        <v>9</v>
      </c>
      <c r="AN23" s="162" t="s">
        <v>9</v>
      </c>
      <c r="AO23" s="162" t="s">
        <v>9</v>
      </c>
      <c r="AP23" s="162" t="s">
        <v>9</v>
      </c>
      <c r="AQ23" s="162" t="s">
        <v>9</v>
      </c>
      <c r="AR23" s="162" t="s">
        <v>9</v>
      </c>
      <c r="AS23" s="162" t="s">
        <v>9</v>
      </c>
      <c r="AT23" s="162" t="s">
        <v>9</v>
      </c>
      <c r="AU23" s="162" t="s">
        <v>9</v>
      </c>
      <c r="AV23" s="162" t="s">
        <v>9</v>
      </c>
      <c r="AW23" s="162" t="s">
        <v>9</v>
      </c>
      <c r="AX23" s="162" t="s">
        <v>9</v>
      </c>
      <c r="AY23" s="162" t="s">
        <v>9</v>
      </c>
      <c r="AZ23" s="162" t="s">
        <v>9</v>
      </c>
      <c r="BA23" s="162" t="s">
        <v>9</v>
      </c>
      <c r="BB23" s="162" t="s">
        <v>9</v>
      </c>
      <c r="BC23" s="162" t="s">
        <v>9</v>
      </c>
      <c r="BD23" s="162" t="s">
        <v>9</v>
      </c>
      <c r="BE23" s="162" t="s">
        <v>9</v>
      </c>
      <c r="BF23" s="162" t="s">
        <v>9</v>
      </c>
      <c r="BG23" s="162" t="s">
        <v>9</v>
      </c>
      <c r="BH23" s="162" t="s">
        <v>9</v>
      </c>
      <c r="BI23" s="162" t="s">
        <v>9</v>
      </c>
      <c r="BJ23" s="162" t="s">
        <v>9</v>
      </c>
      <c r="BK23" s="162" t="s">
        <v>9</v>
      </c>
      <c r="BL23" s="162" t="s">
        <v>9</v>
      </c>
      <c r="BM23" s="162" t="s">
        <v>9</v>
      </c>
      <c r="BN23" s="162" t="s">
        <v>9</v>
      </c>
      <c r="BO23" s="162" t="s">
        <v>9</v>
      </c>
      <c r="BP23" s="162" t="s">
        <v>9</v>
      </c>
      <c r="BQ23" s="162" t="s">
        <v>9</v>
      </c>
      <c r="BR23" s="162" t="s">
        <v>9</v>
      </c>
      <c r="BS23" s="194"/>
    </row>
    <row r="24" spans="1:71">
      <c r="A24" s="145" t="s">
        <v>194</v>
      </c>
      <c r="B24" s="145" t="s">
        <v>47</v>
      </c>
      <c r="C24" s="145">
        <v>1</v>
      </c>
      <c r="D24" s="146" t="s">
        <v>607</v>
      </c>
      <c r="E24" s="147" t="str">
        <f>IF(COUNTIF(Measure_62443_3_3[[#This Row],[G 0.13 Interception of Compromising Interference Signals]:[OPS.1.1.3.8 Manipulation of data and tools during patch and change management]],"P")&gt;0,"X","")</f>
        <v/>
      </c>
      <c r="F24" s="147" t="str">
        <f>IF(OR(Measure_62443_3_3[[#This Row],[Requirement Selected (Prefulfilled)]]="X",Measure_62443_3_3[[#This Row],[Relevance revoked]]="Yes"),"X","")</f>
        <v/>
      </c>
      <c r="G24" s="147" t="str">
        <f>IF(COUNTIF(Measure_62443_3_3[[#This Row],[G 0.13 Interception of Compromising Interference Signals]:[OPS.1.1.3.8 Manipulation of data and tools during patch and change management]],"P")&gt;0,"X","")</f>
        <v/>
      </c>
      <c r="H24" s="147" t="str">
        <f>IF(OR(Measure_62443_3_3[[#This Row],[Requirement Selected (Prefulfilled + Mitigating)]]="X",Measure_62443_3_3[[#This Row],[Relevance revoked]]="Yes"),"X","")</f>
        <v/>
      </c>
      <c r="I24" s="148" t="str">
        <f>IF(VLOOKUP(Measure_62443_3_3[[#This Row],[FR]],'SL-T'!$A$5:$B$11,2,FALSE)&gt;=Measure_62443_3_3[[#This Row],[lowest SL-T]],"X","")</f>
        <v>X</v>
      </c>
      <c r="J24" s="160" t="s">
        <v>90</v>
      </c>
      <c r="K24" s="161"/>
      <c r="L24" s="162" t="s">
        <v>9</v>
      </c>
      <c r="M24" s="162" t="s">
        <v>9</v>
      </c>
      <c r="N24" s="162" t="s">
        <v>9</v>
      </c>
      <c r="O24" s="162" t="s">
        <v>9</v>
      </c>
      <c r="P24" s="162" t="s">
        <v>9</v>
      </c>
      <c r="Q24" s="162" t="s">
        <v>9</v>
      </c>
      <c r="R24" s="162" t="s">
        <v>9</v>
      </c>
      <c r="S24" s="162" t="s">
        <v>9</v>
      </c>
      <c r="T24" s="162" t="s">
        <v>9</v>
      </c>
      <c r="U24" s="162" t="s">
        <v>9</v>
      </c>
      <c r="V24" s="162" t="s">
        <v>9</v>
      </c>
      <c r="W24" s="162" t="s">
        <v>9</v>
      </c>
      <c r="X24" s="162" t="s">
        <v>9</v>
      </c>
      <c r="Y24" s="162" t="s">
        <v>9</v>
      </c>
      <c r="Z24" s="162" t="s">
        <v>9</v>
      </c>
      <c r="AA24" s="162" t="s">
        <v>9</v>
      </c>
      <c r="AB24" s="162" t="s">
        <v>9</v>
      </c>
      <c r="AC24" s="162" t="s">
        <v>9</v>
      </c>
      <c r="AD24" s="162" t="s">
        <v>9</v>
      </c>
      <c r="AE24" s="162" t="s">
        <v>9</v>
      </c>
      <c r="AF24" s="162" t="s">
        <v>9</v>
      </c>
      <c r="AG24" s="162" t="s">
        <v>9</v>
      </c>
      <c r="AH24" s="162" t="s">
        <v>9</v>
      </c>
      <c r="AI24" s="162" t="s">
        <v>9</v>
      </c>
      <c r="AJ24" s="162" t="s">
        <v>9</v>
      </c>
      <c r="AK24" s="162" t="s">
        <v>9</v>
      </c>
      <c r="AL24" s="162" t="s">
        <v>9</v>
      </c>
      <c r="AM24" s="162" t="s">
        <v>9</v>
      </c>
      <c r="AN24" s="162" t="s">
        <v>9</v>
      </c>
      <c r="AO24" s="162" t="s">
        <v>9</v>
      </c>
      <c r="AP24" s="162" t="s">
        <v>9</v>
      </c>
      <c r="AQ24" s="162" t="s">
        <v>9</v>
      </c>
      <c r="AR24" s="162" t="s">
        <v>9</v>
      </c>
      <c r="AS24" s="162" t="s">
        <v>9</v>
      </c>
      <c r="AT24" s="162" t="s">
        <v>9</v>
      </c>
      <c r="AU24" s="162" t="s">
        <v>9</v>
      </c>
      <c r="AV24" s="162" t="s">
        <v>9</v>
      </c>
      <c r="AW24" s="162" t="s">
        <v>9</v>
      </c>
      <c r="AX24" s="162" t="s">
        <v>9</v>
      </c>
      <c r="AY24" s="162" t="s">
        <v>9</v>
      </c>
      <c r="AZ24" s="162" t="s">
        <v>9</v>
      </c>
      <c r="BA24" s="162" t="s">
        <v>9</v>
      </c>
      <c r="BB24" s="162" t="s">
        <v>9</v>
      </c>
      <c r="BC24" s="162" t="s">
        <v>9</v>
      </c>
      <c r="BD24" s="162" t="s">
        <v>9</v>
      </c>
      <c r="BE24" s="162" t="s">
        <v>9</v>
      </c>
      <c r="BF24" s="162" t="s">
        <v>9</v>
      </c>
      <c r="BG24" s="162" t="s">
        <v>9</v>
      </c>
      <c r="BH24" s="162" t="s">
        <v>9</v>
      </c>
      <c r="BI24" s="162" t="s">
        <v>9</v>
      </c>
      <c r="BJ24" s="162" t="s">
        <v>9</v>
      </c>
      <c r="BK24" s="162" t="s">
        <v>9</v>
      </c>
      <c r="BL24" s="162" t="s">
        <v>9</v>
      </c>
      <c r="BM24" s="162" t="s">
        <v>9</v>
      </c>
      <c r="BN24" s="162" t="s">
        <v>9</v>
      </c>
      <c r="BO24" s="162" t="s">
        <v>9</v>
      </c>
      <c r="BP24" s="162" t="s">
        <v>9</v>
      </c>
      <c r="BQ24" s="162" t="s">
        <v>9</v>
      </c>
      <c r="BR24" s="162" t="s">
        <v>9</v>
      </c>
      <c r="BS24" s="194"/>
    </row>
    <row r="25" spans="1:71">
      <c r="A25" s="145" t="s">
        <v>195</v>
      </c>
      <c r="B25" s="145" t="s">
        <v>47</v>
      </c>
      <c r="C25" s="145">
        <v>1</v>
      </c>
      <c r="D25" s="146" t="s">
        <v>607</v>
      </c>
      <c r="E25" s="147" t="str">
        <f>IF(COUNTIF(Measure_62443_3_3[[#This Row],[G 0.13 Interception of Compromising Interference Signals]:[OPS.1.1.3.8 Manipulation of data and tools during patch and change management]],"P")&gt;0,"X","")</f>
        <v/>
      </c>
      <c r="F25" s="147" t="str">
        <f>IF(OR(Measure_62443_3_3[[#This Row],[Requirement Selected (Prefulfilled)]]="X",Measure_62443_3_3[[#This Row],[Relevance revoked]]="Yes"),"X","")</f>
        <v/>
      </c>
      <c r="G25" s="147" t="str">
        <f>IF(COUNTIF(Measure_62443_3_3[[#This Row],[G 0.13 Interception of Compromising Interference Signals]:[OPS.1.1.3.8 Manipulation of data and tools during patch and change management]],"P")&gt;0,"X","")</f>
        <v/>
      </c>
      <c r="H25" s="147" t="str">
        <f>IF(OR(Measure_62443_3_3[[#This Row],[Requirement Selected (Prefulfilled + Mitigating)]]="X",Measure_62443_3_3[[#This Row],[Relevance revoked]]="Yes"),"X","")</f>
        <v/>
      </c>
      <c r="I25" s="148" t="str">
        <f>IF(VLOOKUP(Measure_62443_3_3[[#This Row],[FR]],'SL-T'!$A$5:$B$11,2,FALSE)&gt;=Measure_62443_3_3[[#This Row],[lowest SL-T]],"X","")</f>
        <v>X</v>
      </c>
      <c r="J25" s="160" t="s">
        <v>90</v>
      </c>
      <c r="K25" s="161"/>
      <c r="L25" s="162" t="s">
        <v>9</v>
      </c>
      <c r="M25" s="162" t="s">
        <v>9</v>
      </c>
      <c r="N25" s="162" t="s">
        <v>9</v>
      </c>
      <c r="O25" s="162" t="s">
        <v>9</v>
      </c>
      <c r="P25" s="162" t="s">
        <v>9</v>
      </c>
      <c r="Q25" s="162" t="s">
        <v>9</v>
      </c>
      <c r="R25" s="162" t="s">
        <v>9</v>
      </c>
      <c r="S25" s="162" t="s">
        <v>9</v>
      </c>
      <c r="T25" s="162" t="s">
        <v>9</v>
      </c>
      <c r="U25" s="162" t="s">
        <v>9</v>
      </c>
      <c r="V25" s="162" t="s">
        <v>9</v>
      </c>
      <c r="W25" s="162" t="s">
        <v>9</v>
      </c>
      <c r="X25" s="162" t="s">
        <v>9</v>
      </c>
      <c r="Y25" s="162" t="s">
        <v>9</v>
      </c>
      <c r="Z25" s="162" t="s">
        <v>9</v>
      </c>
      <c r="AA25" s="162" t="s">
        <v>9</v>
      </c>
      <c r="AB25" s="162" t="s">
        <v>9</v>
      </c>
      <c r="AC25" s="162" t="s">
        <v>9</v>
      </c>
      <c r="AD25" s="162" t="s">
        <v>9</v>
      </c>
      <c r="AE25" s="162" t="s">
        <v>9</v>
      </c>
      <c r="AF25" s="162" t="s">
        <v>9</v>
      </c>
      <c r="AG25" s="162" t="s">
        <v>9</v>
      </c>
      <c r="AH25" s="162" t="s">
        <v>9</v>
      </c>
      <c r="AI25" s="162" t="s">
        <v>9</v>
      </c>
      <c r="AJ25" s="162" t="s">
        <v>9</v>
      </c>
      <c r="AK25" s="162" t="s">
        <v>9</v>
      </c>
      <c r="AL25" s="162" t="s">
        <v>9</v>
      </c>
      <c r="AM25" s="162" t="s">
        <v>9</v>
      </c>
      <c r="AN25" s="162" t="s">
        <v>9</v>
      </c>
      <c r="AO25" s="162" t="s">
        <v>9</v>
      </c>
      <c r="AP25" s="162" t="s">
        <v>9</v>
      </c>
      <c r="AQ25" s="162" t="s">
        <v>9</v>
      </c>
      <c r="AR25" s="162" t="s">
        <v>9</v>
      </c>
      <c r="AS25" s="162" t="s">
        <v>9</v>
      </c>
      <c r="AT25" s="162" t="s">
        <v>9</v>
      </c>
      <c r="AU25" s="162" t="s">
        <v>9</v>
      </c>
      <c r="AV25" s="162" t="s">
        <v>9</v>
      </c>
      <c r="AW25" s="162" t="s">
        <v>9</v>
      </c>
      <c r="AX25" s="162" t="s">
        <v>9</v>
      </c>
      <c r="AY25" s="162" t="s">
        <v>9</v>
      </c>
      <c r="AZ25" s="162" t="s">
        <v>9</v>
      </c>
      <c r="BA25" s="162" t="s">
        <v>9</v>
      </c>
      <c r="BB25" s="162" t="s">
        <v>9</v>
      </c>
      <c r="BC25" s="162" t="s">
        <v>9</v>
      </c>
      <c r="BD25" s="162" t="s">
        <v>9</v>
      </c>
      <c r="BE25" s="162" t="s">
        <v>9</v>
      </c>
      <c r="BF25" s="162" t="s">
        <v>9</v>
      </c>
      <c r="BG25" s="162" t="s">
        <v>9</v>
      </c>
      <c r="BH25" s="162" t="s">
        <v>9</v>
      </c>
      <c r="BI25" s="162" t="s">
        <v>9</v>
      </c>
      <c r="BJ25" s="162" t="s">
        <v>9</v>
      </c>
      <c r="BK25" s="162" t="s">
        <v>9</v>
      </c>
      <c r="BL25" s="162" t="s">
        <v>9</v>
      </c>
      <c r="BM25" s="162" t="s">
        <v>9</v>
      </c>
      <c r="BN25" s="162" t="s">
        <v>9</v>
      </c>
      <c r="BO25" s="162" t="s">
        <v>9</v>
      </c>
      <c r="BP25" s="162" t="s">
        <v>9</v>
      </c>
      <c r="BQ25" s="162" t="s">
        <v>9</v>
      </c>
      <c r="BR25" s="162" t="s">
        <v>9</v>
      </c>
      <c r="BS25" s="194"/>
    </row>
    <row r="26" spans="1:71">
      <c r="A26" s="145" t="s">
        <v>196</v>
      </c>
      <c r="B26" s="145" t="s">
        <v>47</v>
      </c>
      <c r="C26" s="145">
        <v>1</v>
      </c>
      <c r="D26" s="146" t="s">
        <v>607</v>
      </c>
      <c r="E26" s="147" t="str">
        <f>IF(COUNTIF(Measure_62443_3_3[[#This Row],[G 0.13 Interception of Compromising Interference Signals]:[OPS.1.1.3.8 Manipulation of data and tools during patch and change management]],"P")&gt;0,"X","")</f>
        <v/>
      </c>
      <c r="F26" s="147" t="str">
        <f>IF(OR(Measure_62443_3_3[[#This Row],[Requirement Selected (Prefulfilled)]]="X",Measure_62443_3_3[[#This Row],[Relevance revoked]]="Yes"),"X","")</f>
        <v/>
      </c>
      <c r="G26" s="147" t="str">
        <f>IF(COUNTIF(Measure_62443_3_3[[#This Row],[G 0.13 Interception of Compromising Interference Signals]:[OPS.1.1.3.8 Manipulation of data and tools during patch and change management]],"P")&gt;0,"X","")</f>
        <v/>
      </c>
      <c r="H26" s="147" t="str">
        <f>IF(OR(Measure_62443_3_3[[#This Row],[Requirement Selected (Prefulfilled + Mitigating)]]="X",Measure_62443_3_3[[#This Row],[Relevance revoked]]="Yes"),"X","")</f>
        <v/>
      </c>
      <c r="I26" s="148" t="str">
        <f>IF(VLOOKUP(Measure_62443_3_3[[#This Row],[FR]],'SL-T'!$A$5:$B$11,2,FALSE)&gt;=Measure_62443_3_3[[#This Row],[lowest SL-T]],"X","")</f>
        <v>X</v>
      </c>
      <c r="J26" s="160" t="s">
        <v>90</v>
      </c>
      <c r="K26" s="161"/>
      <c r="L26" s="162" t="s">
        <v>9</v>
      </c>
      <c r="M26" s="162" t="s">
        <v>9</v>
      </c>
      <c r="N26" s="162" t="s">
        <v>9</v>
      </c>
      <c r="O26" s="162" t="s">
        <v>9</v>
      </c>
      <c r="P26" s="162" t="s">
        <v>9</v>
      </c>
      <c r="Q26" s="162" t="s">
        <v>9</v>
      </c>
      <c r="R26" s="162" t="s">
        <v>9</v>
      </c>
      <c r="S26" s="162" t="s">
        <v>9</v>
      </c>
      <c r="T26" s="162" t="s">
        <v>9</v>
      </c>
      <c r="U26" s="162" t="s">
        <v>9</v>
      </c>
      <c r="V26" s="162" t="s">
        <v>9</v>
      </c>
      <c r="W26" s="162" t="s">
        <v>9</v>
      </c>
      <c r="X26" s="162" t="s">
        <v>9</v>
      </c>
      <c r="Y26" s="162" t="s">
        <v>9</v>
      </c>
      <c r="Z26" s="162" t="s">
        <v>9</v>
      </c>
      <c r="AA26" s="162" t="s">
        <v>9</v>
      </c>
      <c r="AB26" s="162" t="s">
        <v>9</v>
      </c>
      <c r="AC26" s="162" t="s">
        <v>9</v>
      </c>
      <c r="AD26" s="162" t="s">
        <v>9</v>
      </c>
      <c r="AE26" s="162" t="s">
        <v>9</v>
      </c>
      <c r="AF26" s="162" t="s">
        <v>9</v>
      </c>
      <c r="AG26" s="162" t="s">
        <v>9</v>
      </c>
      <c r="AH26" s="162" t="s">
        <v>9</v>
      </c>
      <c r="AI26" s="162" t="s">
        <v>9</v>
      </c>
      <c r="AJ26" s="162" t="s">
        <v>9</v>
      </c>
      <c r="AK26" s="162" t="s">
        <v>9</v>
      </c>
      <c r="AL26" s="162" t="s">
        <v>9</v>
      </c>
      <c r="AM26" s="162" t="s">
        <v>9</v>
      </c>
      <c r="AN26" s="162" t="s">
        <v>9</v>
      </c>
      <c r="AO26" s="162" t="s">
        <v>9</v>
      </c>
      <c r="AP26" s="162" t="s">
        <v>9</v>
      </c>
      <c r="AQ26" s="162" t="s">
        <v>9</v>
      </c>
      <c r="AR26" s="162" t="s">
        <v>9</v>
      </c>
      <c r="AS26" s="162" t="s">
        <v>9</v>
      </c>
      <c r="AT26" s="162" t="s">
        <v>9</v>
      </c>
      <c r="AU26" s="162" t="s">
        <v>9</v>
      </c>
      <c r="AV26" s="162" t="s">
        <v>9</v>
      </c>
      <c r="AW26" s="162" t="s">
        <v>9</v>
      </c>
      <c r="AX26" s="162" t="s">
        <v>9</v>
      </c>
      <c r="AY26" s="162" t="s">
        <v>9</v>
      </c>
      <c r="AZ26" s="162" t="s">
        <v>9</v>
      </c>
      <c r="BA26" s="162" t="s">
        <v>9</v>
      </c>
      <c r="BB26" s="162" t="s">
        <v>9</v>
      </c>
      <c r="BC26" s="162" t="s">
        <v>9</v>
      </c>
      <c r="BD26" s="162" t="s">
        <v>9</v>
      </c>
      <c r="BE26" s="162" t="s">
        <v>9</v>
      </c>
      <c r="BF26" s="162" t="s">
        <v>9</v>
      </c>
      <c r="BG26" s="162" t="s">
        <v>9</v>
      </c>
      <c r="BH26" s="162" t="s">
        <v>9</v>
      </c>
      <c r="BI26" s="162" t="s">
        <v>9</v>
      </c>
      <c r="BJ26" s="162" t="s">
        <v>9</v>
      </c>
      <c r="BK26" s="162" t="s">
        <v>9</v>
      </c>
      <c r="BL26" s="162" t="s">
        <v>9</v>
      </c>
      <c r="BM26" s="162" t="s">
        <v>9</v>
      </c>
      <c r="BN26" s="162" t="s">
        <v>9</v>
      </c>
      <c r="BO26" s="162" t="s">
        <v>9</v>
      </c>
      <c r="BP26" s="162" t="s">
        <v>9</v>
      </c>
      <c r="BQ26" s="162" t="s">
        <v>9</v>
      </c>
      <c r="BR26" s="162" t="s">
        <v>9</v>
      </c>
      <c r="BS26" s="194"/>
    </row>
    <row r="27" spans="1:71" hidden="1">
      <c r="A27" s="145" t="s">
        <v>197</v>
      </c>
      <c r="B27" s="145" t="s">
        <v>47</v>
      </c>
      <c r="C27" s="145">
        <v>2</v>
      </c>
      <c r="D27" s="146" t="s">
        <v>607</v>
      </c>
      <c r="E27" s="147" t="str">
        <f>IF(COUNTIF(Measure_62443_3_3[[#This Row],[G 0.13 Interception of Compromising Interference Signals]:[OPS.1.1.3.8 Manipulation of data and tools during patch and change management]],"P")&gt;0,"X","")</f>
        <v/>
      </c>
      <c r="F27" s="147" t="str">
        <f>IF(OR(Measure_62443_3_3[[#This Row],[Requirement Selected (Prefulfilled)]]="X",Measure_62443_3_3[[#This Row],[Relevance revoked]]="Yes"),"X","")</f>
        <v/>
      </c>
      <c r="G27" s="147" t="str">
        <f>IF(COUNTIF(Measure_62443_3_3[[#This Row],[G 0.13 Interception of Compromising Interference Signals]:[OPS.1.1.3.8 Manipulation of data and tools during patch and change management]],"P")&gt;0,"X","")</f>
        <v/>
      </c>
      <c r="H27" s="147" t="str">
        <f>IF(OR(Measure_62443_3_3[[#This Row],[Requirement Selected (Prefulfilled + Mitigating)]]="X",Measure_62443_3_3[[#This Row],[Relevance revoked]]="Yes"),"X","")</f>
        <v/>
      </c>
      <c r="I27" s="148" t="str">
        <f>IF(VLOOKUP(Measure_62443_3_3[[#This Row],[FR]],'SL-T'!$A$5:$B$11,2,FALSE)&gt;=Measure_62443_3_3[[#This Row],[lowest SL-T]],"X","")</f>
        <v/>
      </c>
      <c r="J27" s="160" t="s">
        <v>90</v>
      </c>
      <c r="K27" s="161"/>
      <c r="L27" s="162" t="s">
        <v>9</v>
      </c>
      <c r="M27" s="162" t="s">
        <v>9</v>
      </c>
      <c r="N27" s="162" t="s">
        <v>9</v>
      </c>
      <c r="O27" s="162" t="s">
        <v>9</v>
      </c>
      <c r="P27" s="162" t="s">
        <v>9</v>
      </c>
      <c r="Q27" s="162" t="s">
        <v>9</v>
      </c>
      <c r="R27" s="162" t="s">
        <v>9</v>
      </c>
      <c r="S27" s="162" t="s">
        <v>9</v>
      </c>
      <c r="T27" s="162" t="s">
        <v>9</v>
      </c>
      <c r="U27" s="162" t="s">
        <v>9</v>
      </c>
      <c r="V27" s="162" t="s">
        <v>9</v>
      </c>
      <c r="W27" s="162" t="s">
        <v>9</v>
      </c>
      <c r="X27" s="162" t="s">
        <v>9</v>
      </c>
      <c r="Y27" s="162" t="s">
        <v>9</v>
      </c>
      <c r="Z27" s="162" t="s">
        <v>9</v>
      </c>
      <c r="AA27" s="162" t="s">
        <v>9</v>
      </c>
      <c r="AB27" s="162" t="s">
        <v>9</v>
      </c>
      <c r="AC27" s="162" t="s">
        <v>9</v>
      </c>
      <c r="AD27" s="162" t="s">
        <v>9</v>
      </c>
      <c r="AE27" s="162" t="s">
        <v>9</v>
      </c>
      <c r="AF27" s="162" t="s">
        <v>9</v>
      </c>
      <c r="AG27" s="162" t="s">
        <v>9</v>
      </c>
      <c r="AH27" s="162" t="s">
        <v>9</v>
      </c>
      <c r="AI27" s="162" t="s">
        <v>9</v>
      </c>
      <c r="AJ27" s="162" t="s">
        <v>9</v>
      </c>
      <c r="AK27" s="162" t="s">
        <v>9</v>
      </c>
      <c r="AL27" s="162" t="s">
        <v>9</v>
      </c>
      <c r="AM27" s="162" t="s">
        <v>9</v>
      </c>
      <c r="AN27" s="162" t="s">
        <v>9</v>
      </c>
      <c r="AO27" s="162" t="s">
        <v>9</v>
      </c>
      <c r="AP27" s="162" t="s">
        <v>9</v>
      </c>
      <c r="AQ27" s="162" t="s">
        <v>9</v>
      </c>
      <c r="AR27" s="162" t="s">
        <v>9</v>
      </c>
      <c r="AS27" s="162" t="s">
        <v>9</v>
      </c>
      <c r="AT27" s="162" t="s">
        <v>9</v>
      </c>
      <c r="AU27" s="162" t="s">
        <v>9</v>
      </c>
      <c r="AV27" s="162" t="s">
        <v>9</v>
      </c>
      <c r="AW27" s="162" t="s">
        <v>9</v>
      </c>
      <c r="AX27" s="162" t="s">
        <v>9</v>
      </c>
      <c r="AY27" s="162" t="s">
        <v>9</v>
      </c>
      <c r="AZ27" s="162" t="s">
        <v>9</v>
      </c>
      <c r="BA27" s="162" t="s">
        <v>9</v>
      </c>
      <c r="BB27" s="162" t="s">
        <v>9</v>
      </c>
      <c r="BC27" s="162" t="s">
        <v>9</v>
      </c>
      <c r="BD27" s="162" t="s">
        <v>9</v>
      </c>
      <c r="BE27" s="162" t="s">
        <v>9</v>
      </c>
      <c r="BF27" s="162" t="s">
        <v>9</v>
      </c>
      <c r="BG27" s="162" t="s">
        <v>9</v>
      </c>
      <c r="BH27" s="162" t="s">
        <v>9</v>
      </c>
      <c r="BI27" s="162" t="s">
        <v>9</v>
      </c>
      <c r="BJ27" s="162" t="s">
        <v>9</v>
      </c>
      <c r="BK27" s="162" t="s">
        <v>9</v>
      </c>
      <c r="BL27" s="162" t="s">
        <v>9</v>
      </c>
      <c r="BM27" s="162" t="s">
        <v>9</v>
      </c>
      <c r="BN27" s="162" t="s">
        <v>9</v>
      </c>
      <c r="BO27" s="162" t="s">
        <v>9</v>
      </c>
      <c r="BP27" s="162" t="s">
        <v>9</v>
      </c>
      <c r="BQ27" s="162" t="s">
        <v>9</v>
      </c>
      <c r="BR27" s="162" t="s">
        <v>9</v>
      </c>
      <c r="BS27" s="194"/>
    </row>
    <row r="28" spans="1:71">
      <c r="A28" s="145" t="s">
        <v>198</v>
      </c>
      <c r="B28" s="145" t="s">
        <v>48</v>
      </c>
      <c r="C28" s="145">
        <v>1</v>
      </c>
      <c r="D28" s="146" t="s">
        <v>607</v>
      </c>
      <c r="E28" s="147" t="str">
        <f>IF(COUNTIF(Measure_62443_3_3[[#This Row],[G 0.13 Interception of Compromising Interference Signals]:[OPS.1.1.3.8 Manipulation of data and tools during patch and change management]],"P")&gt;0,"X","")</f>
        <v/>
      </c>
      <c r="F28" s="147" t="str">
        <f>IF(OR(Measure_62443_3_3[[#This Row],[Requirement Selected (Prefulfilled)]]="X",Measure_62443_3_3[[#This Row],[Relevance revoked]]="Yes"),"X","")</f>
        <v/>
      </c>
      <c r="G28" s="147" t="str">
        <f>IF(COUNTIF(Measure_62443_3_3[[#This Row],[G 0.13 Interception of Compromising Interference Signals]:[OPS.1.1.3.8 Manipulation of data and tools during patch and change management]],"P")&gt;0,"X","")</f>
        <v/>
      </c>
      <c r="H28" s="147" t="str">
        <f>IF(OR(Measure_62443_3_3[[#This Row],[Requirement Selected (Prefulfilled + Mitigating)]]="X",Measure_62443_3_3[[#This Row],[Relevance revoked]]="Yes"),"X","")</f>
        <v/>
      </c>
      <c r="I28" s="148" t="str">
        <f>IF(VLOOKUP(Measure_62443_3_3[[#This Row],[FR]],'SL-T'!$A$5:$B$11,2,FALSE)&gt;=Measure_62443_3_3[[#This Row],[lowest SL-T]],"X","")</f>
        <v>X</v>
      </c>
      <c r="J28" s="160" t="s">
        <v>90</v>
      </c>
      <c r="K28" s="161"/>
      <c r="L28" s="162" t="s">
        <v>9</v>
      </c>
      <c r="M28" s="162" t="s">
        <v>9</v>
      </c>
      <c r="N28" s="162" t="s">
        <v>9</v>
      </c>
      <c r="O28" s="162" t="s">
        <v>9</v>
      </c>
      <c r="P28" s="162" t="s">
        <v>9</v>
      </c>
      <c r="Q28" s="162" t="s">
        <v>9</v>
      </c>
      <c r="R28" s="162" t="s">
        <v>9</v>
      </c>
      <c r="S28" s="162" t="s">
        <v>9</v>
      </c>
      <c r="T28" s="162" t="s">
        <v>9</v>
      </c>
      <c r="U28" s="162" t="s">
        <v>9</v>
      </c>
      <c r="V28" s="162" t="s">
        <v>9</v>
      </c>
      <c r="W28" s="162" t="s">
        <v>9</v>
      </c>
      <c r="X28" s="162" t="s">
        <v>9</v>
      </c>
      <c r="Y28" s="162" t="s">
        <v>9</v>
      </c>
      <c r="Z28" s="162" t="s">
        <v>9</v>
      </c>
      <c r="AA28" s="162" t="s">
        <v>9</v>
      </c>
      <c r="AB28" s="162" t="s">
        <v>9</v>
      </c>
      <c r="AC28" s="162" t="s">
        <v>9</v>
      </c>
      <c r="AD28" s="162" t="s">
        <v>9</v>
      </c>
      <c r="AE28" s="162" t="s">
        <v>9</v>
      </c>
      <c r="AF28" s="162" t="s">
        <v>9</v>
      </c>
      <c r="AG28" s="162" t="s">
        <v>9</v>
      </c>
      <c r="AH28" s="162" t="s">
        <v>9</v>
      </c>
      <c r="AI28" s="162" t="s">
        <v>9</v>
      </c>
      <c r="AJ28" s="162" t="s">
        <v>9</v>
      </c>
      <c r="AK28" s="162" t="s">
        <v>9</v>
      </c>
      <c r="AL28" s="162" t="s">
        <v>9</v>
      </c>
      <c r="AM28" s="162" t="s">
        <v>9</v>
      </c>
      <c r="AN28" s="162" t="s">
        <v>9</v>
      </c>
      <c r="AO28" s="162" t="s">
        <v>9</v>
      </c>
      <c r="AP28" s="162" t="s">
        <v>9</v>
      </c>
      <c r="AQ28" s="162" t="s">
        <v>9</v>
      </c>
      <c r="AR28" s="162" t="s">
        <v>9</v>
      </c>
      <c r="AS28" s="162" t="s">
        <v>9</v>
      </c>
      <c r="AT28" s="162" t="s">
        <v>9</v>
      </c>
      <c r="AU28" s="162" t="s">
        <v>9</v>
      </c>
      <c r="AV28" s="162" t="s">
        <v>9</v>
      </c>
      <c r="AW28" s="162" t="s">
        <v>9</v>
      </c>
      <c r="AX28" s="162" t="s">
        <v>9</v>
      </c>
      <c r="AY28" s="162" t="s">
        <v>9</v>
      </c>
      <c r="AZ28" s="162" t="s">
        <v>9</v>
      </c>
      <c r="BA28" s="162" t="s">
        <v>9</v>
      </c>
      <c r="BB28" s="162" t="s">
        <v>9</v>
      </c>
      <c r="BC28" s="162" t="s">
        <v>9</v>
      </c>
      <c r="BD28" s="162" t="s">
        <v>9</v>
      </c>
      <c r="BE28" s="162" t="s">
        <v>9</v>
      </c>
      <c r="BF28" s="162" t="s">
        <v>9</v>
      </c>
      <c r="BG28" s="162" t="s">
        <v>9</v>
      </c>
      <c r="BH28" s="162" t="s">
        <v>9</v>
      </c>
      <c r="BI28" s="162" t="s">
        <v>9</v>
      </c>
      <c r="BJ28" s="162" t="s">
        <v>9</v>
      </c>
      <c r="BK28" s="162" t="s">
        <v>9</v>
      </c>
      <c r="BL28" s="162" t="s">
        <v>9</v>
      </c>
      <c r="BM28" s="162" t="s">
        <v>9</v>
      </c>
      <c r="BN28" s="162" t="s">
        <v>9</v>
      </c>
      <c r="BO28" s="162" t="s">
        <v>9</v>
      </c>
      <c r="BP28" s="162" t="s">
        <v>9</v>
      </c>
      <c r="BQ28" s="162" t="s">
        <v>9</v>
      </c>
      <c r="BR28" s="162" t="s">
        <v>9</v>
      </c>
      <c r="BS28" s="194"/>
    </row>
    <row r="29" spans="1:71" hidden="1">
      <c r="A29" s="145" t="s">
        <v>199</v>
      </c>
      <c r="B29" s="145" t="s">
        <v>48</v>
      </c>
      <c r="C29" s="145">
        <v>2</v>
      </c>
      <c r="D29" s="146" t="s">
        <v>607</v>
      </c>
      <c r="E29" s="147" t="str">
        <f>IF(COUNTIF(Measure_62443_3_3[[#This Row],[G 0.13 Interception of Compromising Interference Signals]:[OPS.1.1.3.8 Manipulation of data and tools during patch and change management]],"P")&gt;0,"X","")</f>
        <v/>
      </c>
      <c r="F29" s="147" t="str">
        <f>IF(OR(Measure_62443_3_3[[#This Row],[Requirement Selected (Prefulfilled)]]="X",Measure_62443_3_3[[#This Row],[Relevance revoked]]="Yes"),"X","")</f>
        <v/>
      </c>
      <c r="G29" s="147" t="str">
        <f>IF(COUNTIF(Measure_62443_3_3[[#This Row],[G 0.13 Interception of Compromising Interference Signals]:[OPS.1.1.3.8 Manipulation of data and tools during patch and change management]],"P")&gt;0,"X","")</f>
        <v/>
      </c>
      <c r="H29" s="147" t="str">
        <f>IF(OR(Measure_62443_3_3[[#This Row],[Requirement Selected (Prefulfilled + Mitigating)]]="X",Measure_62443_3_3[[#This Row],[Relevance revoked]]="Yes"),"X","")</f>
        <v/>
      </c>
      <c r="I29" s="148" t="str">
        <f>IF(VLOOKUP(Measure_62443_3_3[[#This Row],[FR]],'SL-T'!$A$5:$B$11,2,FALSE)&gt;=Measure_62443_3_3[[#This Row],[lowest SL-T]],"X","")</f>
        <v/>
      </c>
      <c r="J29" s="160" t="s">
        <v>90</v>
      </c>
      <c r="K29" s="161"/>
      <c r="L29" s="162" t="s">
        <v>9</v>
      </c>
      <c r="M29" s="162" t="s">
        <v>9</v>
      </c>
      <c r="N29" s="162" t="s">
        <v>9</v>
      </c>
      <c r="O29" s="162" t="s">
        <v>9</v>
      </c>
      <c r="P29" s="162" t="s">
        <v>9</v>
      </c>
      <c r="Q29" s="162" t="s">
        <v>9</v>
      </c>
      <c r="R29" s="162" t="s">
        <v>9</v>
      </c>
      <c r="S29" s="162" t="s">
        <v>9</v>
      </c>
      <c r="T29" s="162" t="s">
        <v>9</v>
      </c>
      <c r="U29" s="162" t="s">
        <v>9</v>
      </c>
      <c r="V29" s="162" t="s">
        <v>9</v>
      </c>
      <c r="W29" s="162" t="s">
        <v>9</v>
      </c>
      <c r="X29" s="162" t="s">
        <v>9</v>
      </c>
      <c r="Y29" s="162" t="s">
        <v>9</v>
      </c>
      <c r="Z29" s="162" t="s">
        <v>9</v>
      </c>
      <c r="AA29" s="162" t="s">
        <v>9</v>
      </c>
      <c r="AB29" s="162" t="s">
        <v>9</v>
      </c>
      <c r="AC29" s="162" t="s">
        <v>9</v>
      </c>
      <c r="AD29" s="162" t="s">
        <v>9</v>
      </c>
      <c r="AE29" s="162" t="s">
        <v>9</v>
      </c>
      <c r="AF29" s="162" t="s">
        <v>9</v>
      </c>
      <c r="AG29" s="162" t="s">
        <v>9</v>
      </c>
      <c r="AH29" s="162" t="s">
        <v>9</v>
      </c>
      <c r="AI29" s="162" t="s">
        <v>9</v>
      </c>
      <c r="AJ29" s="162" t="s">
        <v>9</v>
      </c>
      <c r="AK29" s="162" t="s">
        <v>9</v>
      </c>
      <c r="AL29" s="162" t="s">
        <v>9</v>
      </c>
      <c r="AM29" s="162" t="s">
        <v>9</v>
      </c>
      <c r="AN29" s="162" t="s">
        <v>9</v>
      </c>
      <c r="AO29" s="162" t="s">
        <v>9</v>
      </c>
      <c r="AP29" s="162" t="s">
        <v>9</v>
      </c>
      <c r="AQ29" s="162" t="s">
        <v>9</v>
      </c>
      <c r="AR29" s="162" t="s">
        <v>9</v>
      </c>
      <c r="AS29" s="162" t="s">
        <v>9</v>
      </c>
      <c r="AT29" s="162" t="s">
        <v>9</v>
      </c>
      <c r="AU29" s="162" t="s">
        <v>9</v>
      </c>
      <c r="AV29" s="162" t="s">
        <v>9</v>
      </c>
      <c r="AW29" s="162" t="s">
        <v>9</v>
      </c>
      <c r="AX29" s="162" t="s">
        <v>9</v>
      </c>
      <c r="AY29" s="162" t="s">
        <v>9</v>
      </c>
      <c r="AZ29" s="162" t="s">
        <v>9</v>
      </c>
      <c r="BA29" s="162" t="s">
        <v>9</v>
      </c>
      <c r="BB29" s="162" t="s">
        <v>9</v>
      </c>
      <c r="BC29" s="162" t="s">
        <v>9</v>
      </c>
      <c r="BD29" s="162" t="s">
        <v>9</v>
      </c>
      <c r="BE29" s="162" t="s">
        <v>9</v>
      </c>
      <c r="BF29" s="162" t="s">
        <v>9</v>
      </c>
      <c r="BG29" s="162" t="s">
        <v>9</v>
      </c>
      <c r="BH29" s="162" t="s">
        <v>9</v>
      </c>
      <c r="BI29" s="162" t="s">
        <v>9</v>
      </c>
      <c r="BJ29" s="162" t="s">
        <v>9</v>
      </c>
      <c r="BK29" s="162" t="s">
        <v>9</v>
      </c>
      <c r="BL29" s="162" t="s">
        <v>9</v>
      </c>
      <c r="BM29" s="162" t="s">
        <v>9</v>
      </c>
      <c r="BN29" s="162" t="s">
        <v>9</v>
      </c>
      <c r="BO29" s="162" t="s">
        <v>9</v>
      </c>
      <c r="BP29" s="162" t="s">
        <v>9</v>
      </c>
      <c r="BQ29" s="162" t="s">
        <v>9</v>
      </c>
      <c r="BR29" s="162" t="s">
        <v>9</v>
      </c>
      <c r="BS29" s="194"/>
    </row>
    <row r="30" spans="1:71" hidden="1">
      <c r="A30" s="145" t="s">
        <v>200</v>
      </c>
      <c r="B30" s="145" t="s">
        <v>48</v>
      </c>
      <c r="C30" s="145">
        <v>2</v>
      </c>
      <c r="D30" s="146" t="s">
        <v>607</v>
      </c>
      <c r="E30" s="147" t="str">
        <f>IF(COUNTIF(Measure_62443_3_3[[#This Row],[G 0.13 Interception of Compromising Interference Signals]:[OPS.1.1.3.8 Manipulation of data and tools during patch and change management]],"P")&gt;0,"X","")</f>
        <v/>
      </c>
      <c r="F30" s="147" t="str">
        <f>IF(OR(Measure_62443_3_3[[#This Row],[Requirement Selected (Prefulfilled)]]="X",Measure_62443_3_3[[#This Row],[Relevance revoked]]="Yes"),"X","")</f>
        <v/>
      </c>
      <c r="G30" s="147" t="str">
        <f>IF(COUNTIF(Measure_62443_3_3[[#This Row],[G 0.13 Interception of Compromising Interference Signals]:[OPS.1.1.3.8 Manipulation of data and tools during patch and change management]],"P")&gt;0,"X","")</f>
        <v/>
      </c>
      <c r="H30" s="147" t="str">
        <f>IF(OR(Measure_62443_3_3[[#This Row],[Requirement Selected (Prefulfilled + Mitigating)]]="X",Measure_62443_3_3[[#This Row],[Relevance revoked]]="Yes"),"X","")</f>
        <v/>
      </c>
      <c r="I30" s="148" t="str">
        <f>IF(VLOOKUP(Measure_62443_3_3[[#This Row],[FR]],'SL-T'!$A$5:$B$11,2,FALSE)&gt;=Measure_62443_3_3[[#This Row],[lowest SL-T]],"X","")</f>
        <v/>
      </c>
      <c r="J30" s="160" t="s">
        <v>90</v>
      </c>
      <c r="K30" s="161"/>
      <c r="L30" s="162" t="s">
        <v>9</v>
      </c>
      <c r="M30" s="162" t="s">
        <v>9</v>
      </c>
      <c r="N30" s="162" t="s">
        <v>9</v>
      </c>
      <c r="O30" s="162" t="s">
        <v>9</v>
      </c>
      <c r="P30" s="162" t="s">
        <v>9</v>
      </c>
      <c r="Q30" s="162" t="s">
        <v>9</v>
      </c>
      <c r="R30" s="162" t="s">
        <v>9</v>
      </c>
      <c r="S30" s="162" t="s">
        <v>9</v>
      </c>
      <c r="T30" s="162" t="s">
        <v>9</v>
      </c>
      <c r="U30" s="162" t="s">
        <v>9</v>
      </c>
      <c r="V30" s="162" t="s">
        <v>9</v>
      </c>
      <c r="W30" s="162" t="s">
        <v>9</v>
      </c>
      <c r="X30" s="162" t="s">
        <v>9</v>
      </c>
      <c r="Y30" s="162" t="s">
        <v>9</v>
      </c>
      <c r="Z30" s="162" t="s">
        <v>9</v>
      </c>
      <c r="AA30" s="162" t="s">
        <v>9</v>
      </c>
      <c r="AB30" s="162" t="s">
        <v>9</v>
      </c>
      <c r="AC30" s="162" t="s">
        <v>9</v>
      </c>
      <c r="AD30" s="162" t="s">
        <v>9</v>
      </c>
      <c r="AE30" s="162" t="s">
        <v>9</v>
      </c>
      <c r="AF30" s="162" t="s">
        <v>9</v>
      </c>
      <c r="AG30" s="162" t="s">
        <v>9</v>
      </c>
      <c r="AH30" s="162" t="s">
        <v>9</v>
      </c>
      <c r="AI30" s="162" t="s">
        <v>9</v>
      </c>
      <c r="AJ30" s="162" t="s">
        <v>9</v>
      </c>
      <c r="AK30" s="162" t="s">
        <v>9</v>
      </c>
      <c r="AL30" s="162" t="s">
        <v>9</v>
      </c>
      <c r="AM30" s="162" t="s">
        <v>9</v>
      </c>
      <c r="AN30" s="162" t="s">
        <v>9</v>
      </c>
      <c r="AO30" s="162" t="s">
        <v>9</v>
      </c>
      <c r="AP30" s="162" t="s">
        <v>9</v>
      </c>
      <c r="AQ30" s="162" t="s">
        <v>9</v>
      </c>
      <c r="AR30" s="162" t="s">
        <v>9</v>
      </c>
      <c r="AS30" s="162" t="s">
        <v>9</v>
      </c>
      <c r="AT30" s="162" t="s">
        <v>9</v>
      </c>
      <c r="AU30" s="162" t="s">
        <v>9</v>
      </c>
      <c r="AV30" s="162" t="s">
        <v>9</v>
      </c>
      <c r="AW30" s="162" t="s">
        <v>9</v>
      </c>
      <c r="AX30" s="162" t="s">
        <v>9</v>
      </c>
      <c r="AY30" s="162" t="s">
        <v>9</v>
      </c>
      <c r="AZ30" s="162" t="s">
        <v>9</v>
      </c>
      <c r="BA30" s="162" t="s">
        <v>9</v>
      </c>
      <c r="BB30" s="162" t="s">
        <v>9</v>
      </c>
      <c r="BC30" s="162" t="s">
        <v>9</v>
      </c>
      <c r="BD30" s="162" t="s">
        <v>9</v>
      </c>
      <c r="BE30" s="162" t="s">
        <v>9</v>
      </c>
      <c r="BF30" s="162" t="s">
        <v>9</v>
      </c>
      <c r="BG30" s="162" t="s">
        <v>9</v>
      </c>
      <c r="BH30" s="162" t="s">
        <v>9</v>
      </c>
      <c r="BI30" s="162" t="s">
        <v>9</v>
      </c>
      <c r="BJ30" s="162" t="s">
        <v>9</v>
      </c>
      <c r="BK30" s="162" t="s">
        <v>9</v>
      </c>
      <c r="BL30" s="162" t="s">
        <v>9</v>
      </c>
      <c r="BM30" s="162" t="s">
        <v>9</v>
      </c>
      <c r="BN30" s="162" t="s">
        <v>9</v>
      </c>
      <c r="BO30" s="162" t="s">
        <v>9</v>
      </c>
      <c r="BP30" s="162" t="s">
        <v>9</v>
      </c>
      <c r="BQ30" s="162" t="s">
        <v>9</v>
      </c>
      <c r="BR30" s="162" t="s">
        <v>9</v>
      </c>
      <c r="BS30" s="194"/>
    </row>
    <row r="31" spans="1:71" hidden="1">
      <c r="A31" s="145" t="s">
        <v>201</v>
      </c>
      <c r="B31" s="145" t="s">
        <v>48</v>
      </c>
      <c r="C31" s="145">
        <v>3</v>
      </c>
      <c r="D31" s="146" t="s">
        <v>607</v>
      </c>
      <c r="E31" s="147" t="str">
        <f>IF(COUNTIF(Measure_62443_3_3[[#This Row],[G 0.13 Interception of Compromising Interference Signals]:[OPS.1.1.3.8 Manipulation of data and tools during patch and change management]],"P")&gt;0,"X","")</f>
        <v/>
      </c>
      <c r="F31" s="147" t="str">
        <f>IF(OR(Measure_62443_3_3[[#This Row],[Requirement Selected (Prefulfilled)]]="X",Measure_62443_3_3[[#This Row],[Relevance revoked]]="Yes"),"X","")</f>
        <v/>
      </c>
      <c r="G31" s="147" t="str">
        <f>IF(COUNTIF(Measure_62443_3_3[[#This Row],[G 0.13 Interception of Compromising Interference Signals]:[OPS.1.1.3.8 Manipulation of data and tools during patch and change management]],"P")&gt;0,"X","")</f>
        <v/>
      </c>
      <c r="H31" s="147" t="str">
        <f>IF(OR(Measure_62443_3_3[[#This Row],[Requirement Selected (Prefulfilled + Mitigating)]]="X",Measure_62443_3_3[[#This Row],[Relevance revoked]]="Yes"),"X","")</f>
        <v/>
      </c>
      <c r="I31" s="148" t="str">
        <f>IF(VLOOKUP(Measure_62443_3_3[[#This Row],[FR]],'SL-T'!$A$5:$B$11,2,FALSE)&gt;=Measure_62443_3_3[[#This Row],[lowest SL-T]],"X","")</f>
        <v/>
      </c>
      <c r="J31" s="160" t="s">
        <v>90</v>
      </c>
      <c r="K31" s="161"/>
      <c r="L31" s="162" t="s">
        <v>9</v>
      </c>
      <c r="M31" s="162" t="s">
        <v>9</v>
      </c>
      <c r="N31" s="162" t="s">
        <v>9</v>
      </c>
      <c r="O31" s="162" t="s">
        <v>9</v>
      </c>
      <c r="P31" s="162" t="s">
        <v>9</v>
      </c>
      <c r="Q31" s="162" t="s">
        <v>9</v>
      </c>
      <c r="R31" s="162" t="s">
        <v>9</v>
      </c>
      <c r="S31" s="162" t="s">
        <v>9</v>
      </c>
      <c r="T31" s="162" t="s">
        <v>9</v>
      </c>
      <c r="U31" s="162" t="s">
        <v>9</v>
      </c>
      <c r="V31" s="162" t="s">
        <v>9</v>
      </c>
      <c r="W31" s="162" t="s">
        <v>9</v>
      </c>
      <c r="X31" s="162" t="s">
        <v>9</v>
      </c>
      <c r="Y31" s="162" t="s">
        <v>9</v>
      </c>
      <c r="Z31" s="162" t="s">
        <v>9</v>
      </c>
      <c r="AA31" s="162" t="s">
        <v>9</v>
      </c>
      <c r="AB31" s="162" t="s">
        <v>9</v>
      </c>
      <c r="AC31" s="162" t="s">
        <v>9</v>
      </c>
      <c r="AD31" s="162" t="s">
        <v>9</v>
      </c>
      <c r="AE31" s="162" t="s">
        <v>9</v>
      </c>
      <c r="AF31" s="162" t="s">
        <v>9</v>
      </c>
      <c r="AG31" s="162" t="s">
        <v>9</v>
      </c>
      <c r="AH31" s="162" t="s">
        <v>9</v>
      </c>
      <c r="AI31" s="162" t="s">
        <v>9</v>
      </c>
      <c r="AJ31" s="162" t="s">
        <v>9</v>
      </c>
      <c r="AK31" s="162" t="s">
        <v>9</v>
      </c>
      <c r="AL31" s="162" t="s">
        <v>9</v>
      </c>
      <c r="AM31" s="162" t="s">
        <v>9</v>
      </c>
      <c r="AN31" s="162" t="s">
        <v>9</v>
      </c>
      <c r="AO31" s="162" t="s">
        <v>9</v>
      </c>
      <c r="AP31" s="162" t="s">
        <v>9</v>
      </c>
      <c r="AQ31" s="162" t="s">
        <v>9</v>
      </c>
      <c r="AR31" s="162" t="s">
        <v>9</v>
      </c>
      <c r="AS31" s="162" t="s">
        <v>9</v>
      </c>
      <c r="AT31" s="162" t="s">
        <v>9</v>
      </c>
      <c r="AU31" s="162" t="s">
        <v>9</v>
      </c>
      <c r="AV31" s="162" t="s">
        <v>9</v>
      </c>
      <c r="AW31" s="162" t="s">
        <v>9</v>
      </c>
      <c r="AX31" s="162" t="s">
        <v>9</v>
      </c>
      <c r="AY31" s="162" t="s">
        <v>9</v>
      </c>
      <c r="AZ31" s="162" t="s">
        <v>9</v>
      </c>
      <c r="BA31" s="162" t="s">
        <v>9</v>
      </c>
      <c r="BB31" s="162" t="s">
        <v>9</v>
      </c>
      <c r="BC31" s="162" t="s">
        <v>9</v>
      </c>
      <c r="BD31" s="162" t="s">
        <v>9</v>
      </c>
      <c r="BE31" s="162" t="s">
        <v>9</v>
      </c>
      <c r="BF31" s="162" t="s">
        <v>9</v>
      </c>
      <c r="BG31" s="162" t="s">
        <v>9</v>
      </c>
      <c r="BH31" s="162" t="s">
        <v>9</v>
      </c>
      <c r="BI31" s="162" t="s">
        <v>9</v>
      </c>
      <c r="BJ31" s="162" t="s">
        <v>9</v>
      </c>
      <c r="BK31" s="162" t="s">
        <v>9</v>
      </c>
      <c r="BL31" s="162" t="s">
        <v>9</v>
      </c>
      <c r="BM31" s="162" t="s">
        <v>9</v>
      </c>
      <c r="BN31" s="162" t="s">
        <v>9</v>
      </c>
      <c r="BO31" s="162" t="s">
        <v>9</v>
      </c>
      <c r="BP31" s="162" t="s">
        <v>9</v>
      </c>
      <c r="BQ31" s="162" t="s">
        <v>9</v>
      </c>
      <c r="BR31" s="162" t="s">
        <v>9</v>
      </c>
      <c r="BS31" s="194"/>
    </row>
    <row r="32" spans="1:71" hidden="1">
      <c r="A32" s="145" t="s">
        <v>202</v>
      </c>
      <c r="B32" s="145" t="s">
        <v>48</v>
      </c>
      <c r="C32" s="145">
        <v>4</v>
      </c>
      <c r="D32" s="146" t="s">
        <v>607</v>
      </c>
      <c r="E32" s="147" t="str">
        <f>IF(COUNTIF(Measure_62443_3_3[[#This Row],[G 0.13 Interception of Compromising Interference Signals]:[OPS.1.1.3.8 Manipulation of data and tools during patch and change management]],"P")&gt;0,"X","")</f>
        <v/>
      </c>
      <c r="F32" s="147" t="str">
        <f>IF(OR(Measure_62443_3_3[[#This Row],[Requirement Selected (Prefulfilled)]]="X",Measure_62443_3_3[[#This Row],[Relevance revoked]]="Yes"),"X","")</f>
        <v/>
      </c>
      <c r="G32" s="147" t="str">
        <f>IF(COUNTIF(Measure_62443_3_3[[#This Row],[G 0.13 Interception of Compromising Interference Signals]:[OPS.1.1.3.8 Manipulation of data and tools during patch and change management]],"P")&gt;0,"X","")</f>
        <v/>
      </c>
      <c r="H32" s="147" t="str">
        <f>IF(OR(Measure_62443_3_3[[#This Row],[Requirement Selected (Prefulfilled + Mitigating)]]="X",Measure_62443_3_3[[#This Row],[Relevance revoked]]="Yes"),"X","")</f>
        <v/>
      </c>
      <c r="I32" s="148" t="str">
        <f>IF(VLOOKUP(Measure_62443_3_3[[#This Row],[FR]],'SL-T'!$A$5:$B$11,2,FALSE)&gt;=Measure_62443_3_3[[#This Row],[lowest SL-T]],"X","")</f>
        <v/>
      </c>
      <c r="J32" s="160" t="s">
        <v>90</v>
      </c>
      <c r="K32" s="161"/>
      <c r="L32" s="162" t="s">
        <v>9</v>
      </c>
      <c r="M32" s="162" t="s">
        <v>9</v>
      </c>
      <c r="N32" s="162" t="s">
        <v>9</v>
      </c>
      <c r="O32" s="162" t="s">
        <v>9</v>
      </c>
      <c r="P32" s="162" t="s">
        <v>9</v>
      </c>
      <c r="Q32" s="162" t="s">
        <v>9</v>
      </c>
      <c r="R32" s="162" t="s">
        <v>9</v>
      </c>
      <c r="S32" s="162" t="s">
        <v>9</v>
      </c>
      <c r="T32" s="162" t="s">
        <v>9</v>
      </c>
      <c r="U32" s="162" t="s">
        <v>9</v>
      </c>
      <c r="V32" s="162" t="s">
        <v>9</v>
      </c>
      <c r="W32" s="162" t="s">
        <v>9</v>
      </c>
      <c r="X32" s="162" t="s">
        <v>9</v>
      </c>
      <c r="Y32" s="162" t="s">
        <v>9</v>
      </c>
      <c r="Z32" s="162" t="s">
        <v>9</v>
      </c>
      <c r="AA32" s="162" t="s">
        <v>9</v>
      </c>
      <c r="AB32" s="162" t="s">
        <v>9</v>
      </c>
      <c r="AC32" s="162" t="s">
        <v>9</v>
      </c>
      <c r="AD32" s="162" t="s">
        <v>9</v>
      </c>
      <c r="AE32" s="162" t="s">
        <v>9</v>
      </c>
      <c r="AF32" s="162" t="s">
        <v>9</v>
      </c>
      <c r="AG32" s="162" t="s">
        <v>9</v>
      </c>
      <c r="AH32" s="162" t="s">
        <v>9</v>
      </c>
      <c r="AI32" s="162" t="s">
        <v>9</v>
      </c>
      <c r="AJ32" s="162" t="s">
        <v>9</v>
      </c>
      <c r="AK32" s="162" t="s">
        <v>9</v>
      </c>
      <c r="AL32" s="162" t="s">
        <v>9</v>
      </c>
      <c r="AM32" s="162" t="s">
        <v>9</v>
      </c>
      <c r="AN32" s="162" t="s">
        <v>9</v>
      </c>
      <c r="AO32" s="162" t="s">
        <v>9</v>
      </c>
      <c r="AP32" s="162" t="s">
        <v>9</v>
      </c>
      <c r="AQ32" s="162" t="s">
        <v>9</v>
      </c>
      <c r="AR32" s="162" t="s">
        <v>9</v>
      </c>
      <c r="AS32" s="162" t="s">
        <v>9</v>
      </c>
      <c r="AT32" s="162" t="s">
        <v>9</v>
      </c>
      <c r="AU32" s="162" t="s">
        <v>9</v>
      </c>
      <c r="AV32" s="162" t="s">
        <v>9</v>
      </c>
      <c r="AW32" s="162" t="s">
        <v>9</v>
      </c>
      <c r="AX32" s="162" t="s">
        <v>9</v>
      </c>
      <c r="AY32" s="162" t="s">
        <v>9</v>
      </c>
      <c r="AZ32" s="162" t="s">
        <v>9</v>
      </c>
      <c r="BA32" s="162" t="s">
        <v>9</v>
      </c>
      <c r="BB32" s="162" t="s">
        <v>9</v>
      </c>
      <c r="BC32" s="162" t="s">
        <v>9</v>
      </c>
      <c r="BD32" s="162" t="s">
        <v>9</v>
      </c>
      <c r="BE32" s="162" t="s">
        <v>9</v>
      </c>
      <c r="BF32" s="162" t="s">
        <v>9</v>
      </c>
      <c r="BG32" s="162" t="s">
        <v>9</v>
      </c>
      <c r="BH32" s="162" t="s">
        <v>9</v>
      </c>
      <c r="BI32" s="162" t="s">
        <v>9</v>
      </c>
      <c r="BJ32" s="162" t="s">
        <v>9</v>
      </c>
      <c r="BK32" s="162" t="s">
        <v>9</v>
      </c>
      <c r="BL32" s="162" t="s">
        <v>9</v>
      </c>
      <c r="BM32" s="162" t="s">
        <v>9</v>
      </c>
      <c r="BN32" s="162" t="s">
        <v>9</v>
      </c>
      <c r="BO32" s="162" t="s">
        <v>9</v>
      </c>
      <c r="BP32" s="162" t="s">
        <v>9</v>
      </c>
      <c r="BQ32" s="162" t="s">
        <v>9</v>
      </c>
      <c r="BR32" s="162" t="s">
        <v>9</v>
      </c>
      <c r="BS32" s="194"/>
    </row>
    <row r="33" spans="1:71">
      <c r="A33" s="145" t="s">
        <v>203</v>
      </c>
      <c r="B33" s="145" t="s">
        <v>48</v>
      </c>
      <c r="C33" s="145">
        <v>1</v>
      </c>
      <c r="D33" s="146" t="s">
        <v>607</v>
      </c>
      <c r="E33" s="147" t="str">
        <f>IF(COUNTIF(Measure_62443_3_3[[#This Row],[G 0.13 Interception of Compromising Interference Signals]:[OPS.1.1.3.8 Manipulation of data and tools during patch and change management]],"P")&gt;0,"X","")</f>
        <v/>
      </c>
      <c r="F33" s="147" t="str">
        <f>IF(OR(Measure_62443_3_3[[#This Row],[Requirement Selected (Prefulfilled)]]="X",Measure_62443_3_3[[#This Row],[Relevance revoked]]="Yes"),"X","")</f>
        <v/>
      </c>
      <c r="G33" s="147" t="str">
        <f>IF(COUNTIF(Measure_62443_3_3[[#This Row],[G 0.13 Interception of Compromising Interference Signals]:[OPS.1.1.3.8 Manipulation of data and tools during patch and change management]],"P")&gt;0,"X","")</f>
        <v/>
      </c>
      <c r="H33" s="147" t="str">
        <f>IF(OR(Measure_62443_3_3[[#This Row],[Requirement Selected (Prefulfilled + Mitigating)]]="X",Measure_62443_3_3[[#This Row],[Relevance revoked]]="Yes"),"X","")</f>
        <v/>
      </c>
      <c r="I33" s="148" t="str">
        <f>IF(VLOOKUP(Measure_62443_3_3[[#This Row],[FR]],'SL-T'!$A$5:$B$11,2,FALSE)&gt;=Measure_62443_3_3[[#This Row],[lowest SL-T]],"X","")</f>
        <v>X</v>
      </c>
      <c r="J33" s="160" t="s">
        <v>90</v>
      </c>
      <c r="K33" s="161"/>
      <c r="L33" s="162" t="s">
        <v>9</v>
      </c>
      <c r="M33" s="162" t="s">
        <v>9</v>
      </c>
      <c r="N33" s="162" t="s">
        <v>9</v>
      </c>
      <c r="O33" s="162" t="s">
        <v>9</v>
      </c>
      <c r="P33" s="162" t="s">
        <v>9</v>
      </c>
      <c r="Q33" s="162" t="s">
        <v>9</v>
      </c>
      <c r="R33" s="162" t="s">
        <v>9</v>
      </c>
      <c r="S33" s="162" t="s">
        <v>9</v>
      </c>
      <c r="T33" s="162" t="s">
        <v>9</v>
      </c>
      <c r="U33" s="162" t="s">
        <v>9</v>
      </c>
      <c r="V33" s="162" t="s">
        <v>9</v>
      </c>
      <c r="W33" s="162" t="s">
        <v>9</v>
      </c>
      <c r="X33" s="162" t="s">
        <v>9</v>
      </c>
      <c r="Y33" s="162" t="s">
        <v>9</v>
      </c>
      <c r="Z33" s="162" t="s">
        <v>9</v>
      </c>
      <c r="AA33" s="162" t="s">
        <v>9</v>
      </c>
      <c r="AB33" s="162" t="s">
        <v>9</v>
      </c>
      <c r="AC33" s="162" t="s">
        <v>9</v>
      </c>
      <c r="AD33" s="162" t="s">
        <v>9</v>
      </c>
      <c r="AE33" s="162" t="s">
        <v>9</v>
      </c>
      <c r="AF33" s="162" t="s">
        <v>9</v>
      </c>
      <c r="AG33" s="162" t="s">
        <v>9</v>
      </c>
      <c r="AH33" s="162" t="s">
        <v>9</v>
      </c>
      <c r="AI33" s="162" t="s">
        <v>9</v>
      </c>
      <c r="AJ33" s="162" t="s">
        <v>9</v>
      </c>
      <c r="AK33" s="162" t="s">
        <v>9</v>
      </c>
      <c r="AL33" s="162" t="s">
        <v>9</v>
      </c>
      <c r="AM33" s="162" t="s">
        <v>9</v>
      </c>
      <c r="AN33" s="162" t="s">
        <v>9</v>
      </c>
      <c r="AO33" s="162" t="s">
        <v>9</v>
      </c>
      <c r="AP33" s="162" t="s">
        <v>9</v>
      </c>
      <c r="AQ33" s="162" t="s">
        <v>9</v>
      </c>
      <c r="AR33" s="162" t="s">
        <v>9</v>
      </c>
      <c r="AS33" s="162" t="s">
        <v>9</v>
      </c>
      <c r="AT33" s="162" t="s">
        <v>9</v>
      </c>
      <c r="AU33" s="162" t="s">
        <v>9</v>
      </c>
      <c r="AV33" s="162" t="s">
        <v>9</v>
      </c>
      <c r="AW33" s="162" t="s">
        <v>9</v>
      </c>
      <c r="AX33" s="162" t="s">
        <v>9</v>
      </c>
      <c r="AY33" s="162" t="s">
        <v>9</v>
      </c>
      <c r="AZ33" s="162" t="s">
        <v>9</v>
      </c>
      <c r="BA33" s="162" t="s">
        <v>9</v>
      </c>
      <c r="BB33" s="162" t="s">
        <v>9</v>
      </c>
      <c r="BC33" s="162" t="s">
        <v>9</v>
      </c>
      <c r="BD33" s="162" t="s">
        <v>9</v>
      </c>
      <c r="BE33" s="162" t="s">
        <v>9</v>
      </c>
      <c r="BF33" s="162" t="s">
        <v>9</v>
      </c>
      <c r="BG33" s="162" t="s">
        <v>9</v>
      </c>
      <c r="BH33" s="162" t="s">
        <v>9</v>
      </c>
      <c r="BI33" s="162" t="s">
        <v>9</v>
      </c>
      <c r="BJ33" s="162" t="s">
        <v>9</v>
      </c>
      <c r="BK33" s="162" t="s">
        <v>9</v>
      </c>
      <c r="BL33" s="162" t="s">
        <v>9</v>
      </c>
      <c r="BM33" s="162" t="s">
        <v>9</v>
      </c>
      <c r="BN33" s="162" t="s">
        <v>9</v>
      </c>
      <c r="BO33" s="162" t="s">
        <v>9</v>
      </c>
      <c r="BP33" s="162" t="s">
        <v>9</v>
      </c>
      <c r="BQ33" s="162" t="s">
        <v>9</v>
      </c>
      <c r="BR33" s="162" t="s">
        <v>9</v>
      </c>
      <c r="BS33" s="194"/>
    </row>
    <row r="34" spans="1:71" hidden="1">
      <c r="A34" s="145" t="s">
        <v>204</v>
      </c>
      <c r="B34" s="145" t="s">
        <v>48</v>
      </c>
      <c r="C34" s="145">
        <v>3</v>
      </c>
      <c r="D34" s="146" t="s">
        <v>607</v>
      </c>
      <c r="E34" s="147" t="str">
        <f>IF(COUNTIF(Measure_62443_3_3[[#This Row],[G 0.13 Interception of Compromising Interference Signals]:[OPS.1.1.3.8 Manipulation of data and tools during patch and change management]],"P")&gt;0,"X","")</f>
        <v/>
      </c>
      <c r="F34" s="147" t="str">
        <f>IF(OR(Measure_62443_3_3[[#This Row],[Requirement Selected (Prefulfilled)]]="X",Measure_62443_3_3[[#This Row],[Relevance revoked]]="Yes"),"X","")</f>
        <v/>
      </c>
      <c r="G34" s="147" t="str">
        <f>IF(COUNTIF(Measure_62443_3_3[[#This Row],[G 0.13 Interception of Compromising Interference Signals]:[OPS.1.1.3.8 Manipulation of data and tools during patch and change management]],"P")&gt;0,"X","")</f>
        <v/>
      </c>
      <c r="H34" s="147" t="str">
        <f>IF(OR(Measure_62443_3_3[[#This Row],[Requirement Selected (Prefulfilled + Mitigating)]]="X",Measure_62443_3_3[[#This Row],[Relevance revoked]]="Yes"),"X","")</f>
        <v/>
      </c>
      <c r="I34" s="148" t="str">
        <f>IF(VLOOKUP(Measure_62443_3_3[[#This Row],[FR]],'SL-T'!$A$5:$B$11,2,FALSE)&gt;=Measure_62443_3_3[[#This Row],[lowest SL-T]],"X","")</f>
        <v/>
      </c>
      <c r="J34" s="160" t="s">
        <v>90</v>
      </c>
      <c r="K34" s="161"/>
      <c r="L34" s="162" t="s">
        <v>9</v>
      </c>
      <c r="M34" s="162" t="s">
        <v>9</v>
      </c>
      <c r="N34" s="162" t="s">
        <v>9</v>
      </c>
      <c r="O34" s="162" t="s">
        <v>9</v>
      </c>
      <c r="P34" s="162" t="s">
        <v>9</v>
      </c>
      <c r="Q34" s="162" t="s">
        <v>9</v>
      </c>
      <c r="R34" s="162" t="s">
        <v>9</v>
      </c>
      <c r="S34" s="162" t="s">
        <v>9</v>
      </c>
      <c r="T34" s="162" t="s">
        <v>9</v>
      </c>
      <c r="U34" s="162" t="s">
        <v>9</v>
      </c>
      <c r="V34" s="162" t="s">
        <v>9</v>
      </c>
      <c r="W34" s="162" t="s">
        <v>9</v>
      </c>
      <c r="X34" s="162" t="s">
        <v>9</v>
      </c>
      <c r="Y34" s="162" t="s">
        <v>9</v>
      </c>
      <c r="Z34" s="162" t="s">
        <v>9</v>
      </c>
      <c r="AA34" s="162" t="s">
        <v>9</v>
      </c>
      <c r="AB34" s="162" t="s">
        <v>9</v>
      </c>
      <c r="AC34" s="162" t="s">
        <v>9</v>
      </c>
      <c r="AD34" s="162" t="s">
        <v>9</v>
      </c>
      <c r="AE34" s="162" t="s">
        <v>9</v>
      </c>
      <c r="AF34" s="162" t="s">
        <v>9</v>
      </c>
      <c r="AG34" s="162" t="s">
        <v>9</v>
      </c>
      <c r="AH34" s="162" t="s">
        <v>9</v>
      </c>
      <c r="AI34" s="162" t="s">
        <v>9</v>
      </c>
      <c r="AJ34" s="162" t="s">
        <v>9</v>
      </c>
      <c r="AK34" s="162" t="s">
        <v>9</v>
      </c>
      <c r="AL34" s="162" t="s">
        <v>9</v>
      </c>
      <c r="AM34" s="162" t="s">
        <v>9</v>
      </c>
      <c r="AN34" s="162" t="s">
        <v>9</v>
      </c>
      <c r="AO34" s="162" t="s">
        <v>9</v>
      </c>
      <c r="AP34" s="162" t="s">
        <v>9</v>
      </c>
      <c r="AQ34" s="162" t="s">
        <v>9</v>
      </c>
      <c r="AR34" s="162" t="s">
        <v>9</v>
      </c>
      <c r="AS34" s="162" t="s">
        <v>9</v>
      </c>
      <c r="AT34" s="162" t="s">
        <v>9</v>
      </c>
      <c r="AU34" s="162" t="s">
        <v>9</v>
      </c>
      <c r="AV34" s="162" t="s">
        <v>9</v>
      </c>
      <c r="AW34" s="162" t="s">
        <v>9</v>
      </c>
      <c r="AX34" s="162" t="s">
        <v>9</v>
      </c>
      <c r="AY34" s="162" t="s">
        <v>9</v>
      </c>
      <c r="AZ34" s="162" t="s">
        <v>9</v>
      </c>
      <c r="BA34" s="162" t="s">
        <v>9</v>
      </c>
      <c r="BB34" s="162" t="s">
        <v>9</v>
      </c>
      <c r="BC34" s="162" t="s">
        <v>9</v>
      </c>
      <c r="BD34" s="162" t="s">
        <v>9</v>
      </c>
      <c r="BE34" s="162" t="s">
        <v>9</v>
      </c>
      <c r="BF34" s="162" t="s">
        <v>9</v>
      </c>
      <c r="BG34" s="162" t="s">
        <v>9</v>
      </c>
      <c r="BH34" s="162" t="s">
        <v>9</v>
      </c>
      <c r="BI34" s="162" t="s">
        <v>9</v>
      </c>
      <c r="BJ34" s="162" t="s">
        <v>9</v>
      </c>
      <c r="BK34" s="162" t="s">
        <v>9</v>
      </c>
      <c r="BL34" s="162" t="s">
        <v>9</v>
      </c>
      <c r="BM34" s="162" t="s">
        <v>9</v>
      </c>
      <c r="BN34" s="162" t="s">
        <v>9</v>
      </c>
      <c r="BO34" s="162" t="s">
        <v>9</v>
      </c>
      <c r="BP34" s="162" t="s">
        <v>9</v>
      </c>
      <c r="BQ34" s="162" t="s">
        <v>9</v>
      </c>
      <c r="BR34" s="162" t="s">
        <v>9</v>
      </c>
      <c r="BS34" s="194"/>
    </row>
    <row r="35" spans="1:71">
      <c r="A35" s="145" t="s">
        <v>205</v>
      </c>
      <c r="B35" s="145" t="s">
        <v>48</v>
      </c>
      <c r="C35" s="145">
        <v>1</v>
      </c>
      <c r="D35" s="146" t="s">
        <v>607</v>
      </c>
      <c r="E35" s="147" t="str">
        <f>IF(COUNTIF(Measure_62443_3_3[[#This Row],[G 0.13 Interception of Compromising Interference Signals]:[OPS.1.1.3.8 Manipulation of data and tools during patch and change management]],"P")&gt;0,"X","")</f>
        <v/>
      </c>
      <c r="F35" s="147" t="str">
        <f>IF(OR(Measure_62443_3_3[[#This Row],[Requirement Selected (Prefulfilled)]]="X",Measure_62443_3_3[[#This Row],[Relevance revoked]]="Yes"),"X","")</f>
        <v/>
      </c>
      <c r="G35" s="147" t="str">
        <f>IF(COUNTIF(Measure_62443_3_3[[#This Row],[G 0.13 Interception of Compromising Interference Signals]:[OPS.1.1.3.8 Manipulation of data and tools during patch and change management]],"P")&gt;0,"X","")</f>
        <v/>
      </c>
      <c r="H35" s="147" t="str">
        <f>IF(OR(Measure_62443_3_3[[#This Row],[Requirement Selected (Prefulfilled + Mitigating)]]="X",Measure_62443_3_3[[#This Row],[Relevance revoked]]="Yes"),"X","")</f>
        <v/>
      </c>
      <c r="I35" s="148" t="str">
        <f>IF(VLOOKUP(Measure_62443_3_3[[#This Row],[FR]],'SL-T'!$A$5:$B$11,2,FALSE)&gt;=Measure_62443_3_3[[#This Row],[lowest SL-T]],"X","")</f>
        <v>X</v>
      </c>
      <c r="J35" s="160" t="s">
        <v>90</v>
      </c>
      <c r="K35" s="161"/>
      <c r="L35" s="162" t="s">
        <v>9</v>
      </c>
      <c r="M35" s="162" t="s">
        <v>9</v>
      </c>
      <c r="N35" s="162" t="s">
        <v>9</v>
      </c>
      <c r="O35" s="162" t="s">
        <v>9</v>
      </c>
      <c r="P35" s="162" t="s">
        <v>9</v>
      </c>
      <c r="Q35" s="162" t="s">
        <v>9</v>
      </c>
      <c r="R35" s="162" t="s">
        <v>9</v>
      </c>
      <c r="S35" s="162" t="s">
        <v>9</v>
      </c>
      <c r="T35" s="162" t="s">
        <v>9</v>
      </c>
      <c r="U35" s="162" t="s">
        <v>9</v>
      </c>
      <c r="V35" s="162" t="s">
        <v>9</v>
      </c>
      <c r="W35" s="162" t="s">
        <v>9</v>
      </c>
      <c r="X35" s="162" t="s">
        <v>9</v>
      </c>
      <c r="Y35" s="162" t="s">
        <v>9</v>
      </c>
      <c r="Z35" s="162" t="s">
        <v>9</v>
      </c>
      <c r="AA35" s="162" t="s">
        <v>9</v>
      </c>
      <c r="AB35" s="162" t="s">
        <v>9</v>
      </c>
      <c r="AC35" s="162" t="s">
        <v>9</v>
      </c>
      <c r="AD35" s="162" t="s">
        <v>9</v>
      </c>
      <c r="AE35" s="162" t="s">
        <v>9</v>
      </c>
      <c r="AF35" s="162" t="s">
        <v>9</v>
      </c>
      <c r="AG35" s="162" t="s">
        <v>9</v>
      </c>
      <c r="AH35" s="162" t="s">
        <v>9</v>
      </c>
      <c r="AI35" s="162" t="s">
        <v>9</v>
      </c>
      <c r="AJ35" s="162" t="s">
        <v>9</v>
      </c>
      <c r="AK35" s="162" t="s">
        <v>9</v>
      </c>
      <c r="AL35" s="162" t="s">
        <v>9</v>
      </c>
      <c r="AM35" s="162" t="s">
        <v>9</v>
      </c>
      <c r="AN35" s="162" t="s">
        <v>9</v>
      </c>
      <c r="AO35" s="162" t="s">
        <v>9</v>
      </c>
      <c r="AP35" s="162" t="s">
        <v>9</v>
      </c>
      <c r="AQ35" s="162" t="s">
        <v>9</v>
      </c>
      <c r="AR35" s="162" t="s">
        <v>9</v>
      </c>
      <c r="AS35" s="162" t="s">
        <v>9</v>
      </c>
      <c r="AT35" s="162" t="s">
        <v>9</v>
      </c>
      <c r="AU35" s="162" t="s">
        <v>9</v>
      </c>
      <c r="AV35" s="162" t="s">
        <v>9</v>
      </c>
      <c r="AW35" s="162" t="s">
        <v>9</v>
      </c>
      <c r="AX35" s="162" t="s">
        <v>9</v>
      </c>
      <c r="AY35" s="162" t="s">
        <v>9</v>
      </c>
      <c r="AZ35" s="162" t="s">
        <v>9</v>
      </c>
      <c r="BA35" s="162" t="s">
        <v>9</v>
      </c>
      <c r="BB35" s="162" t="s">
        <v>9</v>
      </c>
      <c r="BC35" s="162" t="s">
        <v>9</v>
      </c>
      <c r="BD35" s="162" t="s">
        <v>9</v>
      </c>
      <c r="BE35" s="162" t="s">
        <v>9</v>
      </c>
      <c r="BF35" s="162" t="s">
        <v>9</v>
      </c>
      <c r="BG35" s="162" t="s">
        <v>9</v>
      </c>
      <c r="BH35" s="162" t="s">
        <v>9</v>
      </c>
      <c r="BI35" s="162" t="s">
        <v>9</v>
      </c>
      <c r="BJ35" s="162" t="s">
        <v>9</v>
      </c>
      <c r="BK35" s="162" t="s">
        <v>9</v>
      </c>
      <c r="BL35" s="162" t="s">
        <v>9</v>
      </c>
      <c r="BM35" s="162" t="s">
        <v>9</v>
      </c>
      <c r="BN35" s="162" t="s">
        <v>9</v>
      </c>
      <c r="BO35" s="162" t="s">
        <v>9</v>
      </c>
      <c r="BP35" s="162" t="s">
        <v>9</v>
      </c>
      <c r="BQ35" s="162" t="s">
        <v>9</v>
      </c>
      <c r="BR35" s="162" t="s">
        <v>9</v>
      </c>
      <c r="BS35" s="194"/>
    </row>
    <row r="36" spans="1:71" hidden="1">
      <c r="A36" s="145" t="s">
        <v>206</v>
      </c>
      <c r="B36" s="145" t="s">
        <v>48</v>
      </c>
      <c r="C36" s="145">
        <v>3</v>
      </c>
      <c r="D36" s="146" t="s">
        <v>607</v>
      </c>
      <c r="E36" s="147" t="str">
        <f>IF(COUNTIF(Measure_62443_3_3[[#This Row],[G 0.13 Interception of Compromising Interference Signals]:[OPS.1.1.3.8 Manipulation of data and tools during patch and change management]],"P")&gt;0,"X","")</f>
        <v/>
      </c>
      <c r="F36" s="147" t="str">
        <f>IF(OR(Measure_62443_3_3[[#This Row],[Requirement Selected (Prefulfilled)]]="X",Measure_62443_3_3[[#This Row],[Relevance revoked]]="Yes"),"X","")</f>
        <v/>
      </c>
      <c r="G36" s="147" t="str">
        <f>IF(COUNTIF(Measure_62443_3_3[[#This Row],[G 0.13 Interception of Compromising Interference Signals]:[OPS.1.1.3.8 Manipulation of data and tools during patch and change management]],"P")&gt;0,"X","")</f>
        <v/>
      </c>
      <c r="H36" s="147" t="str">
        <f>IF(OR(Measure_62443_3_3[[#This Row],[Requirement Selected (Prefulfilled + Mitigating)]]="X",Measure_62443_3_3[[#This Row],[Relevance revoked]]="Yes"),"X","")</f>
        <v/>
      </c>
      <c r="I36" s="148" t="str">
        <f>IF(VLOOKUP(Measure_62443_3_3[[#This Row],[FR]],'SL-T'!$A$5:$B$11,2,FALSE)&gt;=Measure_62443_3_3[[#This Row],[lowest SL-T]],"X","")</f>
        <v/>
      </c>
      <c r="J36" s="160" t="s">
        <v>90</v>
      </c>
      <c r="K36" s="161"/>
      <c r="L36" s="162" t="s">
        <v>9</v>
      </c>
      <c r="M36" s="162" t="s">
        <v>9</v>
      </c>
      <c r="N36" s="162" t="s">
        <v>9</v>
      </c>
      <c r="O36" s="162" t="s">
        <v>9</v>
      </c>
      <c r="P36" s="162" t="s">
        <v>9</v>
      </c>
      <c r="Q36" s="162" t="s">
        <v>9</v>
      </c>
      <c r="R36" s="162" t="s">
        <v>9</v>
      </c>
      <c r="S36" s="162" t="s">
        <v>9</v>
      </c>
      <c r="T36" s="162" t="s">
        <v>9</v>
      </c>
      <c r="U36" s="162" t="s">
        <v>9</v>
      </c>
      <c r="V36" s="162" t="s">
        <v>9</v>
      </c>
      <c r="W36" s="162" t="s">
        <v>9</v>
      </c>
      <c r="X36" s="162" t="s">
        <v>9</v>
      </c>
      <c r="Y36" s="162" t="s">
        <v>9</v>
      </c>
      <c r="Z36" s="162" t="s">
        <v>9</v>
      </c>
      <c r="AA36" s="162" t="s">
        <v>9</v>
      </c>
      <c r="AB36" s="162" t="s">
        <v>9</v>
      </c>
      <c r="AC36" s="162" t="s">
        <v>9</v>
      </c>
      <c r="AD36" s="162" t="s">
        <v>9</v>
      </c>
      <c r="AE36" s="162" t="s">
        <v>9</v>
      </c>
      <c r="AF36" s="162" t="s">
        <v>9</v>
      </c>
      <c r="AG36" s="162" t="s">
        <v>9</v>
      </c>
      <c r="AH36" s="162" t="s">
        <v>9</v>
      </c>
      <c r="AI36" s="162" t="s">
        <v>9</v>
      </c>
      <c r="AJ36" s="162" t="s">
        <v>9</v>
      </c>
      <c r="AK36" s="162" t="s">
        <v>9</v>
      </c>
      <c r="AL36" s="162" t="s">
        <v>9</v>
      </c>
      <c r="AM36" s="162" t="s">
        <v>9</v>
      </c>
      <c r="AN36" s="162" t="s">
        <v>9</v>
      </c>
      <c r="AO36" s="162" t="s">
        <v>9</v>
      </c>
      <c r="AP36" s="162" t="s">
        <v>9</v>
      </c>
      <c r="AQ36" s="162" t="s">
        <v>9</v>
      </c>
      <c r="AR36" s="162" t="s">
        <v>9</v>
      </c>
      <c r="AS36" s="162" t="s">
        <v>9</v>
      </c>
      <c r="AT36" s="162" t="s">
        <v>9</v>
      </c>
      <c r="AU36" s="162" t="s">
        <v>9</v>
      </c>
      <c r="AV36" s="162" t="s">
        <v>9</v>
      </c>
      <c r="AW36" s="162" t="s">
        <v>9</v>
      </c>
      <c r="AX36" s="162" t="s">
        <v>9</v>
      </c>
      <c r="AY36" s="162" t="s">
        <v>9</v>
      </c>
      <c r="AZ36" s="162" t="s">
        <v>9</v>
      </c>
      <c r="BA36" s="162" t="s">
        <v>9</v>
      </c>
      <c r="BB36" s="162" t="s">
        <v>9</v>
      </c>
      <c r="BC36" s="162" t="s">
        <v>9</v>
      </c>
      <c r="BD36" s="162" t="s">
        <v>9</v>
      </c>
      <c r="BE36" s="162" t="s">
        <v>9</v>
      </c>
      <c r="BF36" s="162" t="s">
        <v>9</v>
      </c>
      <c r="BG36" s="162" t="s">
        <v>9</v>
      </c>
      <c r="BH36" s="162" t="s">
        <v>9</v>
      </c>
      <c r="BI36" s="162" t="s">
        <v>9</v>
      </c>
      <c r="BJ36" s="162" t="s">
        <v>9</v>
      </c>
      <c r="BK36" s="162" t="s">
        <v>9</v>
      </c>
      <c r="BL36" s="162" t="s">
        <v>9</v>
      </c>
      <c r="BM36" s="162" t="s">
        <v>9</v>
      </c>
      <c r="BN36" s="162" t="s">
        <v>9</v>
      </c>
      <c r="BO36" s="162" t="s">
        <v>9</v>
      </c>
      <c r="BP36" s="162" t="s">
        <v>9</v>
      </c>
      <c r="BQ36" s="162" t="s">
        <v>9</v>
      </c>
      <c r="BR36" s="162" t="s">
        <v>9</v>
      </c>
      <c r="BS36" s="194"/>
    </row>
    <row r="37" spans="1:71">
      <c r="A37" s="145" t="s">
        <v>207</v>
      </c>
      <c r="B37" s="145" t="s">
        <v>48</v>
      </c>
      <c r="C37" s="145">
        <v>1</v>
      </c>
      <c r="D37" s="146" t="s">
        <v>607</v>
      </c>
      <c r="E37" s="147" t="str">
        <f>IF(COUNTIF(Measure_62443_3_3[[#This Row],[G 0.13 Interception of Compromising Interference Signals]:[OPS.1.1.3.8 Manipulation of data and tools during patch and change management]],"P")&gt;0,"X","")</f>
        <v/>
      </c>
      <c r="F37" s="147" t="str">
        <f>IF(OR(Measure_62443_3_3[[#This Row],[Requirement Selected (Prefulfilled)]]="X",Measure_62443_3_3[[#This Row],[Relevance revoked]]="Yes"),"X","")</f>
        <v/>
      </c>
      <c r="G37" s="147" t="str">
        <f>IF(COUNTIF(Measure_62443_3_3[[#This Row],[G 0.13 Interception of Compromising Interference Signals]:[OPS.1.1.3.8 Manipulation of data and tools during patch and change management]],"P")&gt;0,"X","")</f>
        <v/>
      </c>
      <c r="H37" s="147" t="str">
        <f>IF(OR(Measure_62443_3_3[[#This Row],[Requirement Selected (Prefulfilled + Mitigating)]]="X",Measure_62443_3_3[[#This Row],[Relevance revoked]]="Yes"),"X","")</f>
        <v/>
      </c>
      <c r="I37" s="148" t="str">
        <f>IF(VLOOKUP(Measure_62443_3_3[[#This Row],[FR]],'SL-T'!$A$5:$B$11,2,FALSE)&gt;=Measure_62443_3_3[[#This Row],[lowest SL-T]],"X","")</f>
        <v>X</v>
      </c>
      <c r="J37" s="160" t="s">
        <v>90</v>
      </c>
      <c r="K37" s="161"/>
      <c r="L37" s="162" t="s">
        <v>9</v>
      </c>
      <c r="M37" s="162" t="s">
        <v>9</v>
      </c>
      <c r="N37" s="162" t="s">
        <v>9</v>
      </c>
      <c r="O37" s="162" t="s">
        <v>9</v>
      </c>
      <c r="P37" s="162" t="s">
        <v>9</v>
      </c>
      <c r="Q37" s="162" t="s">
        <v>9</v>
      </c>
      <c r="R37" s="162" t="s">
        <v>9</v>
      </c>
      <c r="S37" s="162" t="s">
        <v>9</v>
      </c>
      <c r="T37" s="162" t="s">
        <v>9</v>
      </c>
      <c r="U37" s="162" t="s">
        <v>9</v>
      </c>
      <c r="V37" s="162" t="s">
        <v>9</v>
      </c>
      <c r="W37" s="162" t="s">
        <v>9</v>
      </c>
      <c r="X37" s="162" t="s">
        <v>9</v>
      </c>
      <c r="Y37" s="162" t="s">
        <v>9</v>
      </c>
      <c r="Z37" s="162" t="s">
        <v>9</v>
      </c>
      <c r="AA37" s="162" t="s">
        <v>9</v>
      </c>
      <c r="AB37" s="162" t="s">
        <v>9</v>
      </c>
      <c r="AC37" s="162" t="s">
        <v>9</v>
      </c>
      <c r="AD37" s="162" t="s">
        <v>9</v>
      </c>
      <c r="AE37" s="162" t="s">
        <v>9</v>
      </c>
      <c r="AF37" s="162" t="s">
        <v>9</v>
      </c>
      <c r="AG37" s="162" t="s">
        <v>9</v>
      </c>
      <c r="AH37" s="162" t="s">
        <v>9</v>
      </c>
      <c r="AI37" s="162" t="s">
        <v>9</v>
      </c>
      <c r="AJ37" s="162" t="s">
        <v>9</v>
      </c>
      <c r="AK37" s="162" t="s">
        <v>9</v>
      </c>
      <c r="AL37" s="162" t="s">
        <v>9</v>
      </c>
      <c r="AM37" s="162" t="s">
        <v>9</v>
      </c>
      <c r="AN37" s="162" t="s">
        <v>9</v>
      </c>
      <c r="AO37" s="162" t="s">
        <v>9</v>
      </c>
      <c r="AP37" s="162" t="s">
        <v>9</v>
      </c>
      <c r="AQ37" s="162" t="s">
        <v>9</v>
      </c>
      <c r="AR37" s="162" t="s">
        <v>9</v>
      </c>
      <c r="AS37" s="162" t="s">
        <v>9</v>
      </c>
      <c r="AT37" s="162" t="s">
        <v>9</v>
      </c>
      <c r="AU37" s="162" t="s">
        <v>9</v>
      </c>
      <c r="AV37" s="162" t="s">
        <v>9</v>
      </c>
      <c r="AW37" s="162" t="s">
        <v>9</v>
      </c>
      <c r="AX37" s="162" t="s">
        <v>9</v>
      </c>
      <c r="AY37" s="162" t="s">
        <v>9</v>
      </c>
      <c r="AZ37" s="162" t="s">
        <v>9</v>
      </c>
      <c r="BA37" s="162" t="s">
        <v>9</v>
      </c>
      <c r="BB37" s="162" t="s">
        <v>9</v>
      </c>
      <c r="BC37" s="162" t="s">
        <v>9</v>
      </c>
      <c r="BD37" s="162" t="s">
        <v>9</v>
      </c>
      <c r="BE37" s="162" t="s">
        <v>9</v>
      </c>
      <c r="BF37" s="162" t="s">
        <v>9</v>
      </c>
      <c r="BG37" s="162" t="s">
        <v>9</v>
      </c>
      <c r="BH37" s="162" t="s">
        <v>9</v>
      </c>
      <c r="BI37" s="162" t="s">
        <v>9</v>
      </c>
      <c r="BJ37" s="162" t="s">
        <v>9</v>
      </c>
      <c r="BK37" s="162" t="s">
        <v>9</v>
      </c>
      <c r="BL37" s="162" t="s">
        <v>9</v>
      </c>
      <c r="BM37" s="162" t="s">
        <v>9</v>
      </c>
      <c r="BN37" s="162" t="s">
        <v>9</v>
      </c>
      <c r="BO37" s="162" t="s">
        <v>9</v>
      </c>
      <c r="BP37" s="162" t="s">
        <v>9</v>
      </c>
      <c r="BQ37" s="162" t="s">
        <v>9</v>
      </c>
      <c r="BR37" s="162" t="s">
        <v>9</v>
      </c>
      <c r="BS37" s="194"/>
    </row>
    <row r="38" spans="1:71" hidden="1">
      <c r="A38" s="145" t="s">
        <v>208</v>
      </c>
      <c r="B38" s="145" t="s">
        <v>48</v>
      </c>
      <c r="C38" s="145">
        <v>3</v>
      </c>
      <c r="D38" s="146" t="s">
        <v>607</v>
      </c>
      <c r="E38" s="147" t="str">
        <f>IF(COUNTIF(Measure_62443_3_3[[#This Row],[G 0.13 Interception of Compromising Interference Signals]:[OPS.1.1.3.8 Manipulation of data and tools during patch and change management]],"P")&gt;0,"X","")</f>
        <v/>
      </c>
      <c r="F38" s="147" t="str">
        <f>IF(OR(Measure_62443_3_3[[#This Row],[Requirement Selected (Prefulfilled)]]="X",Measure_62443_3_3[[#This Row],[Relevance revoked]]="Yes"),"X","")</f>
        <v/>
      </c>
      <c r="G38" s="147" t="str">
        <f>IF(COUNTIF(Measure_62443_3_3[[#This Row],[G 0.13 Interception of Compromising Interference Signals]:[OPS.1.1.3.8 Manipulation of data and tools during patch and change management]],"P")&gt;0,"X","")</f>
        <v/>
      </c>
      <c r="H38" s="147" t="str">
        <f>IF(OR(Measure_62443_3_3[[#This Row],[Requirement Selected (Prefulfilled + Mitigating)]]="X",Measure_62443_3_3[[#This Row],[Relevance revoked]]="Yes"),"X","")</f>
        <v/>
      </c>
      <c r="I38" s="148" t="str">
        <f>IF(VLOOKUP(Measure_62443_3_3[[#This Row],[FR]],'SL-T'!$A$5:$B$11,2,FALSE)&gt;=Measure_62443_3_3[[#This Row],[lowest SL-T]],"X","")</f>
        <v/>
      </c>
      <c r="J38" s="160" t="s">
        <v>90</v>
      </c>
      <c r="K38" s="161"/>
      <c r="L38" s="162" t="s">
        <v>9</v>
      </c>
      <c r="M38" s="162" t="s">
        <v>9</v>
      </c>
      <c r="N38" s="162" t="s">
        <v>9</v>
      </c>
      <c r="O38" s="162" t="s">
        <v>9</v>
      </c>
      <c r="P38" s="162" t="s">
        <v>9</v>
      </c>
      <c r="Q38" s="162" t="s">
        <v>9</v>
      </c>
      <c r="R38" s="162" t="s">
        <v>9</v>
      </c>
      <c r="S38" s="162" t="s">
        <v>9</v>
      </c>
      <c r="T38" s="162" t="s">
        <v>9</v>
      </c>
      <c r="U38" s="162" t="s">
        <v>9</v>
      </c>
      <c r="V38" s="162" t="s">
        <v>9</v>
      </c>
      <c r="W38" s="162" t="s">
        <v>9</v>
      </c>
      <c r="X38" s="162" t="s">
        <v>9</v>
      </c>
      <c r="Y38" s="162" t="s">
        <v>9</v>
      </c>
      <c r="Z38" s="162" t="s">
        <v>9</v>
      </c>
      <c r="AA38" s="162" t="s">
        <v>9</v>
      </c>
      <c r="AB38" s="162" t="s">
        <v>9</v>
      </c>
      <c r="AC38" s="162" t="s">
        <v>9</v>
      </c>
      <c r="AD38" s="162" t="s">
        <v>9</v>
      </c>
      <c r="AE38" s="162" t="s">
        <v>9</v>
      </c>
      <c r="AF38" s="162" t="s">
        <v>9</v>
      </c>
      <c r="AG38" s="162" t="s">
        <v>9</v>
      </c>
      <c r="AH38" s="162" t="s">
        <v>9</v>
      </c>
      <c r="AI38" s="162" t="s">
        <v>9</v>
      </c>
      <c r="AJ38" s="162" t="s">
        <v>9</v>
      </c>
      <c r="AK38" s="162" t="s">
        <v>9</v>
      </c>
      <c r="AL38" s="162" t="s">
        <v>9</v>
      </c>
      <c r="AM38" s="162" t="s">
        <v>9</v>
      </c>
      <c r="AN38" s="162" t="s">
        <v>9</v>
      </c>
      <c r="AO38" s="162" t="s">
        <v>9</v>
      </c>
      <c r="AP38" s="162" t="s">
        <v>9</v>
      </c>
      <c r="AQ38" s="162" t="s">
        <v>9</v>
      </c>
      <c r="AR38" s="162" t="s">
        <v>9</v>
      </c>
      <c r="AS38" s="162" t="s">
        <v>9</v>
      </c>
      <c r="AT38" s="162" t="s">
        <v>9</v>
      </c>
      <c r="AU38" s="162" t="s">
        <v>9</v>
      </c>
      <c r="AV38" s="162" t="s">
        <v>9</v>
      </c>
      <c r="AW38" s="162" t="s">
        <v>9</v>
      </c>
      <c r="AX38" s="162" t="s">
        <v>9</v>
      </c>
      <c r="AY38" s="162" t="s">
        <v>9</v>
      </c>
      <c r="AZ38" s="162" t="s">
        <v>9</v>
      </c>
      <c r="BA38" s="162" t="s">
        <v>9</v>
      </c>
      <c r="BB38" s="162" t="s">
        <v>9</v>
      </c>
      <c r="BC38" s="162" t="s">
        <v>9</v>
      </c>
      <c r="BD38" s="162" t="s">
        <v>9</v>
      </c>
      <c r="BE38" s="162" t="s">
        <v>9</v>
      </c>
      <c r="BF38" s="162" t="s">
        <v>9</v>
      </c>
      <c r="BG38" s="162" t="s">
        <v>9</v>
      </c>
      <c r="BH38" s="162" t="s">
        <v>9</v>
      </c>
      <c r="BI38" s="162" t="s">
        <v>9</v>
      </c>
      <c r="BJ38" s="162" t="s">
        <v>9</v>
      </c>
      <c r="BK38" s="162" t="s">
        <v>9</v>
      </c>
      <c r="BL38" s="162" t="s">
        <v>9</v>
      </c>
      <c r="BM38" s="162" t="s">
        <v>9</v>
      </c>
      <c r="BN38" s="162" t="s">
        <v>9</v>
      </c>
      <c r="BO38" s="162" t="s">
        <v>9</v>
      </c>
      <c r="BP38" s="162" t="s">
        <v>9</v>
      </c>
      <c r="BQ38" s="162" t="s">
        <v>9</v>
      </c>
      <c r="BR38" s="162" t="s">
        <v>9</v>
      </c>
      <c r="BS38" s="194"/>
    </row>
    <row r="39" spans="1:71">
      <c r="A39" s="145" t="s">
        <v>209</v>
      </c>
      <c r="B39" s="145" t="s">
        <v>48</v>
      </c>
      <c r="C39" s="145">
        <v>1</v>
      </c>
      <c r="D39" s="146" t="s">
        <v>607</v>
      </c>
      <c r="E39" s="147" t="str">
        <f>IF(COUNTIF(Measure_62443_3_3[[#This Row],[G 0.13 Interception of Compromising Interference Signals]:[OPS.1.1.3.8 Manipulation of data and tools during patch and change management]],"P")&gt;0,"X","")</f>
        <v/>
      </c>
      <c r="F39" s="147" t="str">
        <f>IF(OR(Measure_62443_3_3[[#This Row],[Requirement Selected (Prefulfilled)]]="X",Measure_62443_3_3[[#This Row],[Relevance revoked]]="Yes"),"X","")</f>
        <v/>
      </c>
      <c r="G39" s="147" t="str">
        <f>IF(COUNTIF(Measure_62443_3_3[[#This Row],[G 0.13 Interception of Compromising Interference Signals]:[OPS.1.1.3.8 Manipulation of data and tools during patch and change management]],"P")&gt;0,"X","")</f>
        <v/>
      </c>
      <c r="H39" s="147" t="str">
        <f>IF(OR(Measure_62443_3_3[[#This Row],[Requirement Selected (Prefulfilled + Mitigating)]]="X",Measure_62443_3_3[[#This Row],[Relevance revoked]]="Yes"),"X","")</f>
        <v/>
      </c>
      <c r="I39" s="148" t="str">
        <f>IF(VLOOKUP(Measure_62443_3_3[[#This Row],[FR]],'SL-T'!$A$5:$B$11,2,FALSE)&gt;=Measure_62443_3_3[[#This Row],[lowest SL-T]],"X","")</f>
        <v>X</v>
      </c>
      <c r="J39" s="160" t="s">
        <v>90</v>
      </c>
      <c r="K39" s="161"/>
      <c r="L39" s="162" t="s">
        <v>9</v>
      </c>
      <c r="M39" s="162" t="s">
        <v>9</v>
      </c>
      <c r="N39" s="162" t="s">
        <v>9</v>
      </c>
      <c r="O39" s="162" t="s">
        <v>9</v>
      </c>
      <c r="P39" s="162" t="s">
        <v>9</v>
      </c>
      <c r="Q39" s="162" t="s">
        <v>9</v>
      </c>
      <c r="R39" s="162" t="s">
        <v>9</v>
      </c>
      <c r="S39" s="162" t="s">
        <v>9</v>
      </c>
      <c r="T39" s="162" t="s">
        <v>9</v>
      </c>
      <c r="U39" s="162" t="s">
        <v>9</v>
      </c>
      <c r="V39" s="162" t="s">
        <v>9</v>
      </c>
      <c r="W39" s="162" t="s">
        <v>9</v>
      </c>
      <c r="X39" s="162" t="s">
        <v>9</v>
      </c>
      <c r="Y39" s="162" t="s">
        <v>9</v>
      </c>
      <c r="Z39" s="162" t="s">
        <v>9</v>
      </c>
      <c r="AA39" s="162" t="s">
        <v>9</v>
      </c>
      <c r="AB39" s="162" t="s">
        <v>9</v>
      </c>
      <c r="AC39" s="162" t="s">
        <v>9</v>
      </c>
      <c r="AD39" s="162" t="s">
        <v>9</v>
      </c>
      <c r="AE39" s="162" t="s">
        <v>9</v>
      </c>
      <c r="AF39" s="162" t="s">
        <v>9</v>
      </c>
      <c r="AG39" s="162" t="s">
        <v>9</v>
      </c>
      <c r="AH39" s="162" t="s">
        <v>9</v>
      </c>
      <c r="AI39" s="162" t="s">
        <v>9</v>
      </c>
      <c r="AJ39" s="162" t="s">
        <v>9</v>
      </c>
      <c r="AK39" s="162" t="s">
        <v>9</v>
      </c>
      <c r="AL39" s="162" t="s">
        <v>9</v>
      </c>
      <c r="AM39" s="162" t="s">
        <v>9</v>
      </c>
      <c r="AN39" s="162" t="s">
        <v>9</v>
      </c>
      <c r="AO39" s="162" t="s">
        <v>9</v>
      </c>
      <c r="AP39" s="162" t="s">
        <v>9</v>
      </c>
      <c r="AQ39" s="162" t="s">
        <v>9</v>
      </c>
      <c r="AR39" s="162" t="s">
        <v>9</v>
      </c>
      <c r="AS39" s="162" t="s">
        <v>9</v>
      </c>
      <c r="AT39" s="162" t="s">
        <v>9</v>
      </c>
      <c r="AU39" s="162" t="s">
        <v>9</v>
      </c>
      <c r="AV39" s="162" t="s">
        <v>9</v>
      </c>
      <c r="AW39" s="162" t="s">
        <v>9</v>
      </c>
      <c r="AX39" s="162" t="s">
        <v>9</v>
      </c>
      <c r="AY39" s="162" t="s">
        <v>9</v>
      </c>
      <c r="AZ39" s="162" t="s">
        <v>9</v>
      </c>
      <c r="BA39" s="162" t="s">
        <v>9</v>
      </c>
      <c r="BB39" s="162" t="s">
        <v>9</v>
      </c>
      <c r="BC39" s="162" t="s">
        <v>9</v>
      </c>
      <c r="BD39" s="162" t="s">
        <v>9</v>
      </c>
      <c r="BE39" s="162" t="s">
        <v>9</v>
      </c>
      <c r="BF39" s="162" t="s">
        <v>9</v>
      </c>
      <c r="BG39" s="162" t="s">
        <v>9</v>
      </c>
      <c r="BH39" s="162" t="s">
        <v>9</v>
      </c>
      <c r="BI39" s="162" t="s">
        <v>9</v>
      </c>
      <c r="BJ39" s="162" t="s">
        <v>9</v>
      </c>
      <c r="BK39" s="162" t="s">
        <v>9</v>
      </c>
      <c r="BL39" s="162" t="s">
        <v>9</v>
      </c>
      <c r="BM39" s="162" t="s">
        <v>9</v>
      </c>
      <c r="BN39" s="162" t="s">
        <v>9</v>
      </c>
      <c r="BO39" s="162" t="s">
        <v>9</v>
      </c>
      <c r="BP39" s="162" t="s">
        <v>9</v>
      </c>
      <c r="BQ39" s="162" t="s">
        <v>9</v>
      </c>
      <c r="BR39" s="162" t="s">
        <v>9</v>
      </c>
      <c r="BS39" s="194"/>
    </row>
    <row r="40" spans="1:71" hidden="1">
      <c r="A40" s="145" t="s">
        <v>210</v>
      </c>
      <c r="B40" s="145" t="s">
        <v>48</v>
      </c>
      <c r="C40" s="145">
        <v>2</v>
      </c>
      <c r="D40" s="146" t="s">
        <v>607</v>
      </c>
      <c r="E40" s="147" t="str">
        <f>IF(COUNTIF(Measure_62443_3_3[[#This Row],[G 0.13 Interception of Compromising Interference Signals]:[OPS.1.1.3.8 Manipulation of data and tools during patch and change management]],"P")&gt;0,"X","")</f>
        <v/>
      </c>
      <c r="F40" s="147" t="str">
        <f>IF(OR(Measure_62443_3_3[[#This Row],[Requirement Selected (Prefulfilled)]]="X",Measure_62443_3_3[[#This Row],[Relevance revoked]]="Yes"),"X","")</f>
        <v/>
      </c>
      <c r="G40" s="147" t="str">
        <f>IF(COUNTIF(Measure_62443_3_3[[#This Row],[G 0.13 Interception of Compromising Interference Signals]:[OPS.1.1.3.8 Manipulation of data and tools during patch and change management]],"P")&gt;0,"X","")</f>
        <v/>
      </c>
      <c r="H40" s="147" t="str">
        <f>IF(OR(Measure_62443_3_3[[#This Row],[Requirement Selected (Prefulfilled + Mitigating)]]="X",Measure_62443_3_3[[#This Row],[Relevance revoked]]="Yes"),"X","")</f>
        <v/>
      </c>
      <c r="I40" s="148" t="str">
        <f>IF(VLOOKUP(Measure_62443_3_3[[#This Row],[FR]],'SL-T'!$A$5:$B$11,2,FALSE)&gt;=Measure_62443_3_3[[#This Row],[lowest SL-T]],"X","")</f>
        <v/>
      </c>
      <c r="J40" s="160" t="s">
        <v>90</v>
      </c>
      <c r="K40" s="161"/>
      <c r="L40" s="162" t="s">
        <v>9</v>
      </c>
      <c r="M40" s="162" t="s">
        <v>9</v>
      </c>
      <c r="N40" s="162" t="s">
        <v>9</v>
      </c>
      <c r="O40" s="162" t="s">
        <v>9</v>
      </c>
      <c r="P40" s="162" t="s">
        <v>9</v>
      </c>
      <c r="Q40" s="162" t="s">
        <v>9</v>
      </c>
      <c r="R40" s="162" t="s">
        <v>9</v>
      </c>
      <c r="S40" s="162" t="s">
        <v>9</v>
      </c>
      <c r="T40" s="162" t="s">
        <v>9</v>
      </c>
      <c r="U40" s="162" t="s">
        <v>9</v>
      </c>
      <c r="V40" s="162" t="s">
        <v>9</v>
      </c>
      <c r="W40" s="162" t="s">
        <v>9</v>
      </c>
      <c r="X40" s="162" t="s">
        <v>9</v>
      </c>
      <c r="Y40" s="162" t="s">
        <v>9</v>
      </c>
      <c r="Z40" s="162" t="s">
        <v>9</v>
      </c>
      <c r="AA40" s="162" t="s">
        <v>9</v>
      </c>
      <c r="AB40" s="162" t="s">
        <v>9</v>
      </c>
      <c r="AC40" s="162" t="s">
        <v>9</v>
      </c>
      <c r="AD40" s="162" t="s">
        <v>9</v>
      </c>
      <c r="AE40" s="162" t="s">
        <v>9</v>
      </c>
      <c r="AF40" s="162" t="s">
        <v>9</v>
      </c>
      <c r="AG40" s="162" t="s">
        <v>9</v>
      </c>
      <c r="AH40" s="162" t="s">
        <v>9</v>
      </c>
      <c r="AI40" s="162" t="s">
        <v>9</v>
      </c>
      <c r="AJ40" s="162" t="s">
        <v>9</v>
      </c>
      <c r="AK40" s="162" t="s">
        <v>9</v>
      </c>
      <c r="AL40" s="162" t="s">
        <v>9</v>
      </c>
      <c r="AM40" s="162" t="s">
        <v>9</v>
      </c>
      <c r="AN40" s="162" t="s">
        <v>9</v>
      </c>
      <c r="AO40" s="162" t="s">
        <v>9</v>
      </c>
      <c r="AP40" s="162" t="s">
        <v>9</v>
      </c>
      <c r="AQ40" s="162" t="s">
        <v>9</v>
      </c>
      <c r="AR40" s="162" t="s">
        <v>9</v>
      </c>
      <c r="AS40" s="162" t="s">
        <v>9</v>
      </c>
      <c r="AT40" s="162" t="s">
        <v>9</v>
      </c>
      <c r="AU40" s="162" t="s">
        <v>9</v>
      </c>
      <c r="AV40" s="162" t="s">
        <v>9</v>
      </c>
      <c r="AW40" s="162" t="s">
        <v>9</v>
      </c>
      <c r="AX40" s="162" t="s">
        <v>9</v>
      </c>
      <c r="AY40" s="162" t="s">
        <v>9</v>
      </c>
      <c r="AZ40" s="162" t="s">
        <v>9</v>
      </c>
      <c r="BA40" s="162" t="s">
        <v>9</v>
      </c>
      <c r="BB40" s="162" t="s">
        <v>9</v>
      </c>
      <c r="BC40" s="162" t="s">
        <v>9</v>
      </c>
      <c r="BD40" s="162" t="s">
        <v>9</v>
      </c>
      <c r="BE40" s="162" t="s">
        <v>9</v>
      </c>
      <c r="BF40" s="162" t="s">
        <v>9</v>
      </c>
      <c r="BG40" s="162" t="s">
        <v>9</v>
      </c>
      <c r="BH40" s="162" t="s">
        <v>9</v>
      </c>
      <c r="BI40" s="162" t="s">
        <v>9</v>
      </c>
      <c r="BJ40" s="162" t="s">
        <v>9</v>
      </c>
      <c r="BK40" s="162" t="s">
        <v>9</v>
      </c>
      <c r="BL40" s="162" t="s">
        <v>9</v>
      </c>
      <c r="BM40" s="162" t="s">
        <v>9</v>
      </c>
      <c r="BN40" s="162" t="s">
        <v>9</v>
      </c>
      <c r="BO40" s="162" t="s">
        <v>9</v>
      </c>
      <c r="BP40" s="162" t="s">
        <v>9</v>
      </c>
      <c r="BQ40" s="162" t="s">
        <v>9</v>
      </c>
      <c r="BR40" s="162" t="s">
        <v>9</v>
      </c>
      <c r="BS40" s="194"/>
    </row>
    <row r="41" spans="1:71" hidden="1">
      <c r="A41" s="145" t="s">
        <v>211</v>
      </c>
      <c r="B41" s="145" t="s">
        <v>48</v>
      </c>
      <c r="C41" s="145">
        <v>3</v>
      </c>
      <c r="D41" s="146" t="s">
        <v>607</v>
      </c>
      <c r="E41" s="147" t="str">
        <f>IF(COUNTIF(Measure_62443_3_3[[#This Row],[G 0.13 Interception of Compromising Interference Signals]:[OPS.1.1.3.8 Manipulation of data and tools during patch and change management]],"P")&gt;0,"X","")</f>
        <v/>
      </c>
      <c r="F41" s="147" t="str">
        <f>IF(OR(Measure_62443_3_3[[#This Row],[Requirement Selected (Prefulfilled)]]="X",Measure_62443_3_3[[#This Row],[Relevance revoked]]="Yes"),"X","")</f>
        <v/>
      </c>
      <c r="G41" s="147" t="str">
        <f>IF(COUNTIF(Measure_62443_3_3[[#This Row],[G 0.13 Interception of Compromising Interference Signals]:[OPS.1.1.3.8 Manipulation of data and tools during patch and change management]],"P")&gt;0,"X","")</f>
        <v/>
      </c>
      <c r="H41" s="147" t="str">
        <f>IF(OR(Measure_62443_3_3[[#This Row],[Requirement Selected (Prefulfilled + Mitigating)]]="X",Measure_62443_3_3[[#This Row],[Relevance revoked]]="Yes"),"X","")</f>
        <v/>
      </c>
      <c r="I41" s="148" t="str">
        <f>IF(VLOOKUP(Measure_62443_3_3[[#This Row],[FR]],'SL-T'!$A$5:$B$11,2,FALSE)&gt;=Measure_62443_3_3[[#This Row],[lowest SL-T]],"X","")</f>
        <v/>
      </c>
      <c r="J41" s="160" t="s">
        <v>90</v>
      </c>
      <c r="K41" s="161"/>
      <c r="L41" s="162" t="s">
        <v>9</v>
      </c>
      <c r="M41" s="162" t="s">
        <v>9</v>
      </c>
      <c r="N41" s="162" t="s">
        <v>9</v>
      </c>
      <c r="O41" s="162" t="s">
        <v>9</v>
      </c>
      <c r="P41" s="162" t="s">
        <v>9</v>
      </c>
      <c r="Q41" s="162" t="s">
        <v>9</v>
      </c>
      <c r="R41" s="162" t="s">
        <v>9</v>
      </c>
      <c r="S41" s="162" t="s">
        <v>9</v>
      </c>
      <c r="T41" s="162" t="s">
        <v>9</v>
      </c>
      <c r="U41" s="162" t="s">
        <v>9</v>
      </c>
      <c r="V41" s="162" t="s">
        <v>9</v>
      </c>
      <c r="W41" s="162" t="s">
        <v>9</v>
      </c>
      <c r="X41" s="162" t="s">
        <v>9</v>
      </c>
      <c r="Y41" s="162" t="s">
        <v>9</v>
      </c>
      <c r="Z41" s="162" t="s">
        <v>9</v>
      </c>
      <c r="AA41" s="162" t="s">
        <v>9</v>
      </c>
      <c r="AB41" s="162" t="s">
        <v>9</v>
      </c>
      <c r="AC41" s="162" t="s">
        <v>9</v>
      </c>
      <c r="AD41" s="162" t="s">
        <v>9</v>
      </c>
      <c r="AE41" s="162" t="s">
        <v>9</v>
      </c>
      <c r="AF41" s="162" t="s">
        <v>9</v>
      </c>
      <c r="AG41" s="162" t="s">
        <v>9</v>
      </c>
      <c r="AH41" s="162" t="s">
        <v>9</v>
      </c>
      <c r="AI41" s="162" t="s">
        <v>9</v>
      </c>
      <c r="AJ41" s="162" t="s">
        <v>9</v>
      </c>
      <c r="AK41" s="162" t="s">
        <v>9</v>
      </c>
      <c r="AL41" s="162" t="s">
        <v>9</v>
      </c>
      <c r="AM41" s="162" t="s">
        <v>9</v>
      </c>
      <c r="AN41" s="162" t="s">
        <v>9</v>
      </c>
      <c r="AO41" s="162" t="s">
        <v>9</v>
      </c>
      <c r="AP41" s="162" t="s">
        <v>9</v>
      </c>
      <c r="AQ41" s="162" t="s">
        <v>9</v>
      </c>
      <c r="AR41" s="162" t="s">
        <v>9</v>
      </c>
      <c r="AS41" s="162" t="s">
        <v>9</v>
      </c>
      <c r="AT41" s="162" t="s">
        <v>9</v>
      </c>
      <c r="AU41" s="162" t="s">
        <v>9</v>
      </c>
      <c r="AV41" s="162" t="s">
        <v>9</v>
      </c>
      <c r="AW41" s="162" t="s">
        <v>9</v>
      </c>
      <c r="AX41" s="162" t="s">
        <v>9</v>
      </c>
      <c r="AY41" s="162" t="s">
        <v>9</v>
      </c>
      <c r="AZ41" s="162" t="s">
        <v>9</v>
      </c>
      <c r="BA41" s="162" t="s">
        <v>9</v>
      </c>
      <c r="BB41" s="162" t="s">
        <v>9</v>
      </c>
      <c r="BC41" s="162" t="s">
        <v>9</v>
      </c>
      <c r="BD41" s="162" t="s">
        <v>9</v>
      </c>
      <c r="BE41" s="162" t="s">
        <v>9</v>
      </c>
      <c r="BF41" s="162" t="s">
        <v>9</v>
      </c>
      <c r="BG41" s="162" t="s">
        <v>9</v>
      </c>
      <c r="BH41" s="162" t="s">
        <v>9</v>
      </c>
      <c r="BI41" s="162" t="s">
        <v>9</v>
      </c>
      <c r="BJ41" s="162" t="s">
        <v>9</v>
      </c>
      <c r="BK41" s="162" t="s">
        <v>9</v>
      </c>
      <c r="BL41" s="162" t="s">
        <v>9</v>
      </c>
      <c r="BM41" s="162" t="s">
        <v>9</v>
      </c>
      <c r="BN41" s="162" t="s">
        <v>9</v>
      </c>
      <c r="BO41" s="162" t="s">
        <v>9</v>
      </c>
      <c r="BP41" s="162" t="s">
        <v>9</v>
      </c>
      <c r="BQ41" s="162" t="s">
        <v>9</v>
      </c>
      <c r="BR41" s="162" t="s">
        <v>9</v>
      </c>
      <c r="BS41" s="194"/>
    </row>
    <row r="42" spans="1:71">
      <c r="A42" s="145" t="s">
        <v>212</v>
      </c>
      <c r="B42" s="145" t="s">
        <v>48</v>
      </c>
      <c r="C42" s="145">
        <v>1</v>
      </c>
      <c r="D42" s="146" t="s">
        <v>607</v>
      </c>
      <c r="E42" s="147" t="str">
        <f>IF(COUNTIF(Measure_62443_3_3[[#This Row],[G 0.13 Interception of Compromising Interference Signals]:[OPS.1.1.3.8 Manipulation of data and tools during patch and change management]],"P")&gt;0,"X","")</f>
        <v/>
      </c>
      <c r="F42" s="147" t="str">
        <f>IF(OR(Measure_62443_3_3[[#This Row],[Requirement Selected (Prefulfilled)]]="X",Measure_62443_3_3[[#This Row],[Relevance revoked]]="Yes"),"X","")</f>
        <v/>
      </c>
      <c r="G42" s="147" t="str">
        <f>IF(COUNTIF(Measure_62443_3_3[[#This Row],[G 0.13 Interception of Compromising Interference Signals]:[OPS.1.1.3.8 Manipulation of data and tools during patch and change management]],"P")&gt;0,"X","")</f>
        <v/>
      </c>
      <c r="H42" s="147" t="str">
        <f>IF(OR(Measure_62443_3_3[[#This Row],[Requirement Selected (Prefulfilled + Mitigating)]]="X",Measure_62443_3_3[[#This Row],[Relevance revoked]]="Yes"),"X","")</f>
        <v/>
      </c>
      <c r="I42" s="148" t="str">
        <f>IF(VLOOKUP(Measure_62443_3_3[[#This Row],[FR]],'SL-T'!$A$5:$B$11,2,FALSE)&gt;=Measure_62443_3_3[[#This Row],[lowest SL-T]],"X","")</f>
        <v>X</v>
      </c>
      <c r="J42" s="160" t="s">
        <v>90</v>
      </c>
      <c r="K42" s="161"/>
      <c r="L42" s="162" t="s">
        <v>9</v>
      </c>
      <c r="M42" s="162" t="s">
        <v>9</v>
      </c>
      <c r="N42" s="162" t="s">
        <v>9</v>
      </c>
      <c r="O42" s="162" t="s">
        <v>9</v>
      </c>
      <c r="P42" s="162" t="s">
        <v>9</v>
      </c>
      <c r="Q42" s="162" t="s">
        <v>9</v>
      </c>
      <c r="R42" s="162" t="s">
        <v>9</v>
      </c>
      <c r="S42" s="162" t="s">
        <v>9</v>
      </c>
      <c r="T42" s="162" t="s">
        <v>9</v>
      </c>
      <c r="U42" s="162" t="s">
        <v>9</v>
      </c>
      <c r="V42" s="162" t="s">
        <v>9</v>
      </c>
      <c r="W42" s="162" t="s">
        <v>9</v>
      </c>
      <c r="X42" s="162" t="s">
        <v>9</v>
      </c>
      <c r="Y42" s="162" t="s">
        <v>9</v>
      </c>
      <c r="Z42" s="162" t="s">
        <v>9</v>
      </c>
      <c r="AA42" s="162" t="s">
        <v>9</v>
      </c>
      <c r="AB42" s="162" t="s">
        <v>9</v>
      </c>
      <c r="AC42" s="162" t="s">
        <v>9</v>
      </c>
      <c r="AD42" s="162" t="s">
        <v>9</v>
      </c>
      <c r="AE42" s="162" t="s">
        <v>9</v>
      </c>
      <c r="AF42" s="162" t="s">
        <v>9</v>
      </c>
      <c r="AG42" s="162" t="s">
        <v>9</v>
      </c>
      <c r="AH42" s="162" t="s">
        <v>9</v>
      </c>
      <c r="AI42" s="162" t="s">
        <v>9</v>
      </c>
      <c r="AJ42" s="162" t="s">
        <v>9</v>
      </c>
      <c r="AK42" s="162" t="s">
        <v>9</v>
      </c>
      <c r="AL42" s="162" t="s">
        <v>9</v>
      </c>
      <c r="AM42" s="162" t="s">
        <v>9</v>
      </c>
      <c r="AN42" s="162" t="s">
        <v>9</v>
      </c>
      <c r="AO42" s="162" t="s">
        <v>9</v>
      </c>
      <c r="AP42" s="162" t="s">
        <v>9</v>
      </c>
      <c r="AQ42" s="162" t="s">
        <v>9</v>
      </c>
      <c r="AR42" s="162" t="s">
        <v>9</v>
      </c>
      <c r="AS42" s="162" t="s">
        <v>9</v>
      </c>
      <c r="AT42" s="162" t="s">
        <v>9</v>
      </c>
      <c r="AU42" s="162" t="s">
        <v>9</v>
      </c>
      <c r="AV42" s="162" t="s">
        <v>9</v>
      </c>
      <c r="AW42" s="162" t="s">
        <v>9</v>
      </c>
      <c r="AX42" s="162" t="s">
        <v>9</v>
      </c>
      <c r="AY42" s="162" t="s">
        <v>9</v>
      </c>
      <c r="AZ42" s="162" t="s">
        <v>9</v>
      </c>
      <c r="BA42" s="162" t="s">
        <v>9</v>
      </c>
      <c r="BB42" s="162" t="s">
        <v>9</v>
      </c>
      <c r="BC42" s="162" t="s">
        <v>9</v>
      </c>
      <c r="BD42" s="162" t="s">
        <v>9</v>
      </c>
      <c r="BE42" s="162" t="s">
        <v>9</v>
      </c>
      <c r="BF42" s="162" t="s">
        <v>9</v>
      </c>
      <c r="BG42" s="162" t="s">
        <v>9</v>
      </c>
      <c r="BH42" s="162" t="s">
        <v>9</v>
      </c>
      <c r="BI42" s="162" t="s">
        <v>9</v>
      </c>
      <c r="BJ42" s="162" t="s">
        <v>9</v>
      </c>
      <c r="BK42" s="162" t="s">
        <v>9</v>
      </c>
      <c r="BL42" s="162" t="s">
        <v>9</v>
      </c>
      <c r="BM42" s="162" t="s">
        <v>9</v>
      </c>
      <c r="BN42" s="162" t="s">
        <v>9</v>
      </c>
      <c r="BO42" s="162" t="s">
        <v>9</v>
      </c>
      <c r="BP42" s="162" t="s">
        <v>9</v>
      </c>
      <c r="BQ42" s="162" t="s">
        <v>9</v>
      </c>
      <c r="BR42" s="162" t="s">
        <v>9</v>
      </c>
      <c r="BS42" s="194"/>
    </row>
    <row r="43" spans="1:71" hidden="1">
      <c r="A43" s="145" t="s">
        <v>213</v>
      </c>
      <c r="B43" s="145" t="s">
        <v>48</v>
      </c>
      <c r="C43" s="145">
        <v>3</v>
      </c>
      <c r="D43" s="146" t="s">
        <v>607</v>
      </c>
      <c r="E43" s="147" t="str">
        <f>IF(COUNTIF(Measure_62443_3_3[[#This Row],[G 0.13 Interception of Compromising Interference Signals]:[OPS.1.1.3.8 Manipulation of data and tools during patch and change management]],"P")&gt;0,"X","")</f>
        <v/>
      </c>
      <c r="F43" s="147" t="str">
        <f>IF(OR(Measure_62443_3_3[[#This Row],[Requirement Selected (Prefulfilled)]]="X",Measure_62443_3_3[[#This Row],[Relevance revoked]]="Yes"),"X","")</f>
        <v/>
      </c>
      <c r="G43" s="147" t="str">
        <f>IF(COUNTIF(Measure_62443_3_3[[#This Row],[G 0.13 Interception of Compromising Interference Signals]:[OPS.1.1.3.8 Manipulation of data and tools during patch and change management]],"P")&gt;0,"X","")</f>
        <v/>
      </c>
      <c r="H43" s="147" t="str">
        <f>IF(OR(Measure_62443_3_3[[#This Row],[Requirement Selected (Prefulfilled + Mitigating)]]="X",Measure_62443_3_3[[#This Row],[Relevance revoked]]="Yes"),"X","")</f>
        <v/>
      </c>
      <c r="I43" s="148" t="str">
        <f>IF(VLOOKUP(Measure_62443_3_3[[#This Row],[FR]],'SL-T'!$A$5:$B$11,2,FALSE)&gt;=Measure_62443_3_3[[#This Row],[lowest SL-T]],"X","")</f>
        <v/>
      </c>
      <c r="J43" s="160" t="s">
        <v>90</v>
      </c>
      <c r="K43" s="161"/>
      <c r="L43" s="162" t="s">
        <v>9</v>
      </c>
      <c r="M43" s="162" t="s">
        <v>9</v>
      </c>
      <c r="N43" s="162" t="s">
        <v>9</v>
      </c>
      <c r="O43" s="162" t="s">
        <v>9</v>
      </c>
      <c r="P43" s="162" t="s">
        <v>9</v>
      </c>
      <c r="Q43" s="162" t="s">
        <v>9</v>
      </c>
      <c r="R43" s="162" t="s">
        <v>9</v>
      </c>
      <c r="S43" s="162" t="s">
        <v>9</v>
      </c>
      <c r="T43" s="162" t="s">
        <v>9</v>
      </c>
      <c r="U43" s="162" t="s">
        <v>9</v>
      </c>
      <c r="V43" s="162" t="s">
        <v>9</v>
      </c>
      <c r="W43" s="162" t="s">
        <v>9</v>
      </c>
      <c r="X43" s="162" t="s">
        <v>9</v>
      </c>
      <c r="Y43" s="162" t="s">
        <v>9</v>
      </c>
      <c r="Z43" s="162" t="s">
        <v>9</v>
      </c>
      <c r="AA43" s="162" t="s">
        <v>9</v>
      </c>
      <c r="AB43" s="162" t="s">
        <v>9</v>
      </c>
      <c r="AC43" s="162" t="s">
        <v>9</v>
      </c>
      <c r="AD43" s="162" t="s">
        <v>9</v>
      </c>
      <c r="AE43" s="162" t="s">
        <v>9</v>
      </c>
      <c r="AF43" s="162" t="s">
        <v>9</v>
      </c>
      <c r="AG43" s="162" t="s">
        <v>9</v>
      </c>
      <c r="AH43" s="162" t="s">
        <v>9</v>
      </c>
      <c r="AI43" s="162" t="s">
        <v>9</v>
      </c>
      <c r="AJ43" s="162" t="s">
        <v>9</v>
      </c>
      <c r="AK43" s="162" t="s">
        <v>9</v>
      </c>
      <c r="AL43" s="162" t="s">
        <v>9</v>
      </c>
      <c r="AM43" s="162" t="s">
        <v>9</v>
      </c>
      <c r="AN43" s="162" t="s">
        <v>9</v>
      </c>
      <c r="AO43" s="162" t="s">
        <v>9</v>
      </c>
      <c r="AP43" s="162" t="s">
        <v>9</v>
      </c>
      <c r="AQ43" s="162" t="s">
        <v>9</v>
      </c>
      <c r="AR43" s="162" t="s">
        <v>9</v>
      </c>
      <c r="AS43" s="162" t="s">
        <v>9</v>
      </c>
      <c r="AT43" s="162" t="s">
        <v>9</v>
      </c>
      <c r="AU43" s="162" t="s">
        <v>9</v>
      </c>
      <c r="AV43" s="162" t="s">
        <v>9</v>
      </c>
      <c r="AW43" s="162" t="s">
        <v>9</v>
      </c>
      <c r="AX43" s="162" t="s">
        <v>9</v>
      </c>
      <c r="AY43" s="162" t="s">
        <v>9</v>
      </c>
      <c r="AZ43" s="162" t="s">
        <v>9</v>
      </c>
      <c r="BA43" s="162" t="s">
        <v>9</v>
      </c>
      <c r="BB43" s="162" t="s">
        <v>9</v>
      </c>
      <c r="BC43" s="162" t="s">
        <v>9</v>
      </c>
      <c r="BD43" s="162" t="s">
        <v>9</v>
      </c>
      <c r="BE43" s="162" t="s">
        <v>9</v>
      </c>
      <c r="BF43" s="162" t="s">
        <v>9</v>
      </c>
      <c r="BG43" s="162" t="s">
        <v>9</v>
      </c>
      <c r="BH43" s="162" t="s">
        <v>9</v>
      </c>
      <c r="BI43" s="162" t="s">
        <v>9</v>
      </c>
      <c r="BJ43" s="162" t="s">
        <v>9</v>
      </c>
      <c r="BK43" s="162" t="s">
        <v>9</v>
      </c>
      <c r="BL43" s="162" t="s">
        <v>9</v>
      </c>
      <c r="BM43" s="162" t="s">
        <v>9</v>
      </c>
      <c r="BN43" s="162" t="s">
        <v>9</v>
      </c>
      <c r="BO43" s="162" t="s">
        <v>9</v>
      </c>
      <c r="BP43" s="162" t="s">
        <v>9</v>
      </c>
      <c r="BQ43" s="162" t="s">
        <v>9</v>
      </c>
      <c r="BR43" s="162" t="s">
        <v>9</v>
      </c>
      <c r="BS43" s="194"/>
    </row>
    <row r="44" spans="1:71">
      <c r="A44" s="145" t="s">
        <v>214</v>
      </c>
      <c r="B44" s="145" t="s">
        <v>48</v>
      </c>
      <c r="C44" s="145">
        <v>1</v>
      </c>
      <c r="D44" s="146" t="s">
        <v>607</v>
      </c>
      <c r="E44" s="147" t="str">
        <f>IF(COUNTIF(Measure_62443_3_3[[#This Row],[G 0.13 Interception of Compromising Interference Signals]:[OPS.1.1.3.8 Manipulation of data and tools during patch and change management]],"P")&gt;0,"X","")</f>
        <v/>
      </c>
      <c r="F44" s="147" t="str">
        <f>IF(OR(Measure_62443_3_3[[#This Row],[Requirement Selected (Prefulfilled)]]="X",Measure_62443_3_3[[#This Row],[Relevance revoked]]="Yes"),"X","")</f>
        <v/>
      </c>
      <c r="G44" s="147" t="str">
        <f>IF(COUNTIF(Measure_62443_3_3[[#This Row],[G 0.13 Interception of Compromising Interference Signals]:[OPS.1.1.3.8 Manipulation of data and tools during patch and change management]],"P")&gt;0,"X","")</f>
        <v/>
      </c>
      <c r="H44" s="147" t="str">
        <f>IF(OR(Measure_62443_3_3[[#This Row],[Requirement Selected (Prefulfilled + Mitigating)]]="X",Measure_62443_3_3[[#This Row],[Relevance revoked]]="Yes"),"X","")</f>
        <v/>
      </c>
      <c r="I44" s="148" t="str">
        <f>IF(VLOOKUP(Measure_62443_3_3[[#This Row],[FR]],'SL-T'!$A$5:$B$11,2,FALSE)&gt;=Measure_62443_3_3[[#This Row],[lowest SL-T]],"X","")</f>
        <v>X</v>
      </c>
      <c r="J44" s="160" t="s">
        <v>90</v>
      </c>
      <c r="K44" s="161"/>
      <c r="L44" s="162" t="s">
        <v>9</v>
      </c>
      <c r="M44" s="162" t="s">
        <v>9</v>
      </c>
      <c r="N44" s="162" t="s">
        <v>9</v>
      </c>
      <c r="O44" s="162" t="s">
        <v>9</v>
      </c>
      <c r="P44" s="162" t="s">
        <v>9</v>
      </c>
      <c r="Q44" s="162" t="s">
        <v>9</v>
      </c>
      <c r="R44" s="162" t="s">
        <v>9</v>
      </c>
      <c r="S44" s="162" t="s">
        <v>9</v>
      </c>
      <c r="T44" s="162" t="s">
        <v>9</v>
      </c>
      <c r="U44" s="162" t="s">
        <v>9</v>
      </c>
      <c r="V44" s="162" t="s">
        <v>9</v>
      </c>
      <c r="W44" s="162" t="s">
        <v>9</v>
      </c>
      <c r="X44" s="162" t="s">
        <v>9</v>
      </c>
      <c r="Y44" s="162" t="s">
        <v>9</v>
      </c>
      <c r="Z44" s="162" t="s">
        <v>9</v>
      </c>
      <c r="AA44" s="162" t="s">
        <v>9</v>
      </c>
      <c r="AB44" s="162" t="s">
        <v>9</v>
      </c>
      <c r="AC44" s="162" t="s">
        <v>9</v>
      </c>
      <c r="AD44" s="162" t="s">
        <v>9</v>
      </c>
      <c r="AE44" s="162" t="s">
        <v>9</v>
      </c>
      <c r="AF44" s="162" t="s">
        <v>9</v>
      </c>
      <c r="AG44" s="162" t="s">
        <v>9</v>
      </c>
      <c r="AH44" s="162" t="s">
        <v>9</v>
      </c>
      <c r="AI44" s="162" t="s">
        <v>9</v>
      </c>
      <c r="AJ44" s="162" t="s">
        <v>9</v>
      </c>
      <c r="AK44" s="162" t="s">
        <v>9</v>
      </c>
      <c r="AL44" s="162" t="s">
        <v>9</v>
      </c>
      <c r="AM44" s="162" t="s">
        <v>9</v>
      </c>
      <c r="AN44" s="162" t="s">
        <v>9</v>
      </c>
      <c r="AO44" s="162" t="s">
        <v>9</v>
      </c>
      <c r="AP44" s="162" t="s">
        <v>9</v>
      </c>
      <c r="AQ44" s="162" t="s">
        <v>9</v>
      </c>
      <c r="AR44" s="162" t="s">
        <v>9</v>
      </c>
      <c r="AS44" s="162" t="s">
        <v>9</v>
      </c>
      <c r="AT44" s="162" t="s">
        <v>9</v>
      </c>
      <c r="AU44" s="162" t="s">
        <v>9</v>
      </c>
      <c r="AV44" s="162" t="s">
        <v>9</v>
      </c>
      <c r="AW44" s="162" t="s">
        <v>9</v>
      </c>
      <c r="AX44" s="162" t="s">
        <v>9</v>
      </c>
      <c r="AY44" s="162" t="s">
        <v>9</v>
      </c>
      <c r="AZ44" s="162" t="s">
        <v>9</v>
      </c>
      <c r="BA44" s="162" t="s">
        <v>9</v>
      </c>
      <c r="BB44" s="162" t="s">
        <v>9</v>
      </c>
      <c r="BC44" s="162" t="s">
        <v>9</v>
      </c>
      <c r="BD44" s="162" t="s">
        <v>9</v>
      </c>
      <c r="BE44" s="162" t="s">
        <v>9</v>
      </c>
      <c r="BF44" s="162" t="s">
        <v>9</v>
      </c>
      <c r="BG44" s="162" t="s">
        <v>9</v>
      </c>
      <c r="BH44" s="162" t="s">
        <v>9</v>
      </c>
      <c r="BI44" s="162" t="s">
        <v>9</v>
      </c>
      <c r="BJ44" s="162" t="s">
        <v>9</v>
      </c>
      <c r="BK44" s="162" t="s">
        <v>9</v>
      </c>
      <c r="BL44" s="162" t="s">
        <v>9</v>
      </c>
      <c r="BM44" s="162" t="s">
        <v>9</v>
      </c>
      <c r="BN44" s="162" t="s">
        <v>9</v>
      </c>
      <c r="BO44" s="162" t="s">
        <v>9</v>
      </c>
      <c r="BP44" s="162" t="s">
        <v>9</v>
      </c>
      <c r="BQ44" s="162" t="s">
        <v>9</v>
      </c>
      <c r="BR44" s="162" t="s">
        <v>9</v>
      </c>
      <c r="BS44" s="194"/>
    </row>
    <row r="45" spans="1:71" hidden="1">
      <c r="A45" s="145" t="s">
        <v>215</v>
      </c>
      <c r="B45" s="145" t="s">
        <v>48</v>
      </c>
      <c r="C45" s="145">
        <v>3</v>
      </c>
      <c r="D45" s="146" t="s">
        <v>607</v>
      </c>
      <c r="E45" s="147" t="str">
        <f>IF(COUNTIF(Measure_62443_3_3[[#This Row],[G 0.13 Interception of Compromising Interference Signals]:[OPS.1.1.3.8 Manipulation of data and tools during patch and change management]],"P")&gt;0,"X","")</f>
        <v/>
      </c>
      <c r="F45" s="147" t="str">
        <f>IF(OR(Measure_62443_3_3[[#This Row],[Requirement Selected (Prefulfilled)]]="X",Measure_62443_3_3[[#This Row],[Relevance revoked]]="Yes"),"X","")</f>
        <v/>
      </c>
      <c r="G45" s="147" t="str">
        <f>IF(COUNTIF(Measure_62443_3_3[[#This Row],[G 0.13 Interception of Compromising Interference Signals]:[OPS.1.1.3.8 Manipulation of data and tools during patch and change management]],"P")&gt;0,"X","")</f>
        <v/>
      </c>
      <c r="H45" s="147" t="str">
        <f>IF(OR(Measure_62443_3_3[[#This Row],[Requirement Selected (Prefulfilled + Mitigating)]]="X",Measure_62443_3_3[[#This Row],[Relevance revoked]]="Yes"),"X","")</f>
        <v/>
      </c>
      <c r="I45" s="148" t="str">
        <f>IF(VLOOKUP(Measure_62443_3_3[[#This Row],[FR]],'SL-T'!$A$5:$B$11,2,FALSE)&gt;=Measure_62443_3_3[[#This Row],[lowest SL-T]],"X","")</f>
        <v/>
      </c>
      <c r="J45" s="160" t="s">
        <v>90</v>
      </c>
      <c r="K45" s="161"/>
      <c r="L45" s="162" t="s">
        <v>9</v>
      </c>
      <c r="M45" s="162" t="s">
        <v>9</v>
      </c>
      <c r="N45" s="162" t="s">
        <v>9</v>
      </c>
      <c r="O45" s="162" t="s">
        <v>9</v>
      </c>
      <c r="P45" s="162" t="s">
        <v>9</v>
      </c>
      <c r="Q45" s="162" t="s">
        <v>9</v>
      </c>
      <c r="R45" s="162" t="s">
        <v>9</v>
      </c>
      <c r="S45" s="162" t="s">
        <v>9</v>
      </c>
      <c r="T45" s="162" t="s">
        <v>9</v>
      </c>
      <c r="U45" s="162" t="s">
        <v>9</v>
      </c>
      <c r="V45" s="162" t="s">
        <v>9</v>
      </c>
      <c r="W45" s="162" t="s">
        <v>9</v>
      </c>
      <c r="X45" s="162" t="s">
        <v>9</v>
      </c>
      <c r="Y45" s="162" t="s">
        <v>9</v>
      </c>
      <c r="Z45" s="162" t="s">
        <v>9</v>
      </c>
      <c r="AA45" s="162" t="s">
        <v>9</v>
      </c>
      <c r="AB45" s="162" t="s">
        <v>9</v>
      </c>
      <c r="AC45" s="162" t="s">
        <v>9</v>
      </c>
      <c r="AD45" s="162" t="s">
        <v>9</v>
      </c>
      <c r="AE45" s="162" t="s">
        <v>9</v>
      </c>
      <c r="AF45" s="162" t="s">
        <v>9</v>
      </c>
      <c r="AG45" s="162" t="s">
        <v>9</v>
      </c>
      <c r="AH45" s="162" t="s">
        <v>9</v>
      </c>
      <c r="AI45" s="162" t="s">
        <v>9</v>
      </c>
      <c r="AJ45" s="162" t="s">
        <v>9</v>
      </c>
      <c r="AK45" s="162" t="s">
        <v>9</v>
      </c>
      <c r="AL45" s="162" t="s">
        <v>9</v>
      </c>
      <c r="AM45" s="162" t="s">
        <v>9</v>
      </c>
      <c r="AN45" s="162" t="s">
        <v>9</v>
      </c>
      <c r="AO45" s="162" t="s">
        <v>9</v>
      </c>
      <c r="AP45" s="162" t="s">
        <v>9</v>
      </c>
      <c r="AQ45" s="162" t="s">
        <v>9</v>
      </c>
      <c r="AR45" s="162" t="s">
        <v>9</v>
      </c>
      <c r="AS45" s="162" t="s">
        <v>9</v>
      </c>
      <c r="AT45" s="162" t="s">
        <v>9</v>
      </c>
      <c r="AU45" s="162" t="s">
        <v>9</v>
      </c>
      <c r="AV45" s="162" t="s">
        <v>9</v>
      </c>
      <c r="AW45" s="162" t="s">
        <v>9</v>
      </c>
      <c r="AX45" s="162" t="s">
        <v>9</v>
      </c>
      <c r="AY45" s="162" t="s">
        <v>9</v>
      </c>
      <c r="AZ45" s="162" t="s">
        <v>9</v>
      </c>
      <c r="BA45" s="162" t="s">
        <v>9</v>
      </c>
      <c r="BB45" s="162" t="s">
        <v>9</v>
      </c>
      <c r="BC45" s="162" t="s">
        <v>9</v>
      </c>
      <c r="BD45" s="162" t="s">
        <v>9</v>
      </c>
      <c r="BE45" s="162" t="s">
        <v>9</v>
      </c>
      <c r="BF45" s="162" t="s">
        <v>9</v>
      </c>
      <c r="BG45" s="162" t="s">
        <v>9</v>
      </c>
      <c r="BH45" s="162" t="s">
        <v>9</v>
      </c>
      <c r="BI45" s="162" t="s">
        <v>9</v>
      </c>
      <c r="BJ45" s="162" t="s">
        <v>9</v>
      </c>
      <c r="BK45" s="162" t="s">
        <v>9</v>
      </c>
      <c r="BL45" s="162" t="s">
        <v>9</v>
      </c>
      <c r="BM45" s="162" t="s">
        <v>9</v>
      </c>
      <c r="BN45" s="162" t="s">
        <v>9</v>
      </c>
      <c r="BO45" s="162" t="s">
        <v>9</v>
      </c>
      <c r="BP45" s="162" t="s">
        <v>9</v>
      </c>
      <c r="BQ45" s="162" t="s">
        <v>9</v>
      </c>
      <c r="BR45" s="162" t="s">
        <v>9</v>
      </c>
      <c r="BS45" s="194"/>
    </row>
    <row r="46" spans="1:71" hidden="1">
      <c r="A46" s="145" t="s">
        <v>216</v>
      </c>
      <c r="B46" s="145" t="s">
        <v>48</v>
      </c>
      <c r="C46" s="145">
        <v>3</v>
      </c>
      <c r="D46" s="146" t="s">
        <v>607</v>
      </c>
      <c r="E46" s="147" t="str">
        <f>IF(COUNTIF(Measure_62443_3_3[[#This Row],[G 0.13 Interception of Compromising Interference Signals]:[OPS.1.1.3.8 Manipulation of data and tools during patch and change management]],"P")&gt;0,"X","")</f>
        <v/>
      </c>
      <c r="F46" s="147" t="str">
        <f>IF(OR(Measure_62443_3_3[[#This Row],[Requirement Selected (Prefulfilled)]]="X",Measure_62443_3_3[[#This Row],[Relevance revoked]]="Yes"),"X","")</f>
        <v/>
      </c>
      <c r="G46" s="147" t="str">
        <f>IF(COUNTIF(Measure_62443_3_3[[#This Row],[G 0.13 Interception of Compromising Interference Signals]:[OPS.1.1.3.8 Manipulation of data and tools during patch and change management]],"P")&gt;0,"X","")</f>
        <v/>
      </c>
      <c r="H46" s="147" t="str">
        <f>IF(OR(Measure_62443_3_3[[#This Row],[Requirement Selected (Prefulfilled + Mitigating)]]="X",Measure_62443_3_3[[#This Row],[Relevance revoked]]="Yes"),"X","")</f>
        <v/>
      </c>
      <c r="I46" s="148" t="str">
        <f>IF(VLOOKUP(Measure_62443_3_3[[#This Row],[FR]],'SL-T'!$A$5:$B$11,2,FALSE)&gt;=Measure_62443_3_3[[#This Row],[lowest SL-T]],"X","")</f>
        <v/>
      </c>
      <c r="J46" s="160" t="s">
        <v>90</v>
      </c>
      <c r="K46" s="161"/>
      <c r="L46" s="162" t="s">
        <v>9</v>
      </c>
      <c r="M46" s="162" t="s">
        <v>9</v>
      </c>
      <c r="N46" s="162" t="s">
        <v>9</v>
      </c>
      <c r="O46" s="162" t="s">
        <v>9</v>
      </c>
      <c r="P46" s="162" t="s">
        <v>9</v>
      </c>
      <c r="Q46" s="162" t="s">
        <v>9</v>
      </c>
      <c r="R46" s="162" t="s">
        <v>9</v>
      </c>
      <c r="S46" s="162" t="s">
        <v>9</v>
      </c>
      <c r="T46" s="162" t="s">
        <v>9</v>
      </c>
      <c r="U46" s="162" t="s">
        <v>9</v>
      </c>
      <c r="V46" s="162" t="s">
        <v>9</v>
      </c>
      <c r="W46" s="162" t="s">
        <v>9</v>
      </c>
      <c r="X46" s="162" t="s">
        <v>9</v>
      </c>
      <c r="Y46" s="162" t="s">
        <v>9</v>
      </c>
      <c r="Z46" s="162" t="s">
        <v>9</v>
      </c>
      <c r="AA46" s="162" t="s">
        <v>9</v>
      </c>
      <c r="AB46" s="162" t="s">
        <v>9</v>
      </c>
      <c r="AC46" s="162" t="s">
        <v>9</v>
      </c>
      <c r="AD46" s="162" t="s">
        <v>9</v>
      </c>
      <c r="AE46" s="162" t="s">
        <v>9</v>
      </c>
      <c r="AF46" s="162" t="s">
        <v>9</v>
      </c>
      <c r="AG46" s="162" t="s">
        <v>9</v>
      </c>
      <c r="AH46" s="162" t="s">
        <v>9</v>
      </c>
      <c r="AI46" s="162" t="s">
        <v>9</v>
      </c>
      <c r="AJ46" s="162" t="s">
        <v>9</v>
      </c>
      <c r="AK46" s="162" t="s">
        <v>9</v>
      </c>
      <c r="AL46" s="162" t="s">
        <v>9</v>
      </c>
      <c r="AM46" s="162" t="s">
        <v>9</v>
      </c>
      <c r="AN46" s="162" t="s">
        <v>9</v>
      </c>
      <c r="AO46" s="162" t="s">
        <v>9</v>
      </c>
      <c r="AP46" s="162" t="s">
        <v>9</v>
      </c>
      <c r="AQ46" s="162" t="s">
        <v>9</v>
      </c>
      <c r="AR46" s="162" t="s">
        <v>9</v>
      </c>
      <c r="AS46" s="162" t="s">
        <v>9</v>
      </c>
      <c r="AT46" s="162" t="s">
        <v>9</v>
      </c>
      <c r="AU46" s="162" t="s">
        <v>9</v>
      </c>
      <c r="AV46" s="162" t="s">
        <v>9</v>
      </c>
      <c r="AW46" s="162" t="s">
        <v>9</v>
      </c>
      <c r="AX46" s="162" t="s">
        <v>9</v>
      </c>
      <c r="AY46" s="162" t="s">
        <v>9</v>
      </c>
      <c r="AZ46" s="162" t="s">
        <v>9</v>
      </c>
      <c r="BA46" s="162" t="s">
        <v>9</v>
      </c>
      <c r="BB46" s="162" t="s">
        <v>9</v>
      </c>
      <c r="BC46" s="162" t="s">
        <v>9</v>
      </c>
      <c r="BD46" s="162" t="s">
        <v>9</v>
      </c>
      <c r="BE46" s="162" t="s">
        <v>9</v>
      </c>
      <c r="BF46" s="162" t="s">
        <v>9</v>
      </c>
      <c r="BG46" s="162" t="s">
        <v>9</v>
      </c>
      <c r="BH46" s="162" t="s">
        <v>9</v>
      </c>
      <c r="BI46" s="162" t="s">
        <v>9</v>
      </c>
      <c r="BJ46" s="162" t="s">
        <v>9</v>
      </c>
      <c r="BK46" s="162" t="s">
        <v>9</v>
      </c>
      <c r="BL46" s="162" t="s">
        <v>9</v>
      </c>
      <c r="BM46" s="162" t="s">
        <v>9</v>
      </c>
      <c r="BN46" s="162" t="s">
        <v>9</v>
      </c>
      <c r="BO46" s="162" t="s">
        <v>9</v>
      </c>
      <c r="BP46" s="162" t="s">
        <v>9</v>
      </c>
      <c r="BQ46" s="162" t="s">
        <v>9</v>
      </c>
      <c r="BR46" s="162" t="s">
        <v>9</v>
      </c>
      <c r="BS46" s="194"/>
    </row>
    <row r="47" spans="1:71" hidden="1">
      <c r="A47" s="145" t="s">
        <v>217</v>
      </c>
      <c r="B47" s="145" t="s">
        <v>48</v>
      </c>
      <c r="C47" s="145">
        <v>2</v>
      </c>
      <c r="D47" s="146" t="s">
        <v>607</v>
      </c>
      <c r="E47" s="147" t="str">
        <f>IF(COUNTIF(Measure_62443_3_3[[#This Row],[G 0.13 Interception of Compromising Interference Signals]:[OPS.1.1.3.8 Manipulation of data and tools during patch and change management]],"P")&gt;0,"X","")</f>
        <v/>
      </c>
      <c r="F47" s="147" t="str">
        <f>IF(OR(Measure_62443_3_3[[#This Row],[Requirement Selected (Prefulfilled)]]="X",Measure_62443_3_3[[#This Row],[Relevance revoked]]="Yes"),"X","")</f>
        <v/>
      </c>
      <c r="G47" s="147" t="str">
        <f>IF(COUNTIF(Measure_62443_3_3[[#This Row],[G 0.13 Interception of Compromising Interference Signals]:[OPS.1.1.3.8 Manipulation of data and tools during patch and change management]],"P")&gt;0,"X","")</f>
        <v/>
      </c>
      <c r="H47" s="147" t="str">
        <f>IF(OR(Measure_62443_3_3[[#This Row],[Requirement Selected (Prefulfilled + Mitigating)]]="X",Measure_62443_3_3[[#This Row],[Relevance revoked]]="Yes"),"X","")</f>
        <v/>
      </c>
      <c r="I47" s="148" t="str">
        <f>IF(VLOOKUP(Measure_62443_3_3[[#This Row],[FR]],'SL-T'!$A$5:$B$11,2,FALSE)&gt;=Measure_62443_3_3[[#This Row],[lowest SL-T]],"X","")</f>
        <v/>
      </c>
      <c r="J47" s="160" t="s">
        <v>90</v>
      </c>
      <c r="K47" s="161"/>
      <c r="L47" s="162" t="s">
        <v>9</v>
      </c>
      <c r="M47" s="162" t="s">
        <v>9</v>
      </c>
      <c r="N47" s="162" t="s">
        <v>9</v>
      </c>
      <c r="O47" s="162" t="s">
        <v>9</v>
      </c>
      <c r="P47" s="162" t="s">
        <v>9</v>
      </c>
      <c r="Q47" s="162" t="s">
        <v>9</v>
      </c>
      <c r="R47" s="162" t="s">
        <v>9</v>
      </c>
      <c r="S47" s="162" t="s">
        <v>9</v>
      </c>
      <c r="T47" s="162" t="s">
        <v>9</v>
      </c>
      <c r="U47" s="162" t="s">
        <v>9</v>
      </c>
      <c r="V47" s="162" t="s">
        <v>9</v>
      </c>
      <c r="W47" s="162" t="s">
        <v>9</v>
      </c>
      <c r="X47" s="162" t="s">
        <v>9</v>
      </c>
      <c r="Y47" s="162" t="s">
        <v>9</v>
      </c>
      <c r="Z47" s="162" t="s">
        <v>9</v>
      </c>
      <c r="AA47" s="162" t="s">
        <v>9</v>
      </c>
      <c r="AB47" s="162" t="s">
        <v>9</v>
      </c>
      <c r="AC47" s="162" t="s">
        <v>9</v>
      </c>
      <c r="AD47" s="162" t="s">
        <v>9</v>
      </c>
      <c r="AE47" s="162" t="s">
        <v>9</v>
      </c>
      <c r="AF47" s="162" t="s">
        <v>9</v>
      </c>
      <c r="AG47" s="162" t="s">
        <v>9</v>
      </c>
      <c r="AH47" s="162" t="s">
        <v>9</v>
      </c>
      <c r="AI47" s="162" t="s">
        <v>9</v>
      </c>
      <c r="AJ47" s="162" t="s">
        <v>9</v>
      </c>
      <c r="AK47" s="162" t="s">
        <v>9</v>
      </c>
      <c r="AL47" s="162" t="s">
        <v>9</v>
      </c>
      <c r="AM47" s="162" t="s">
        <v>9</v>
      </c>
      <c r="AN47" s="162" t="s">
        <v>9</v>
      </c>
      <c r="AO47" s="162" t="s">
        <v>9</v>
      </c>
      <c r="AP47" s="162" t="s">
        <v>9</v>
      </c>
      <c r="AQ47" s="162" t="s">
        <v>9</v>
      </c>
      <c r="AR47" s="162" t="s">
        <v>9</v>
      </c>
      <c r="AS47" s="162" t="s">
        <v>9</v>
      </c>
      <c r="AT47" s="162" t="s">
        <v>9</v>
      </c>
      <c r="AU47" s="162" t="s">
        <v>9</v>
      </c>
      <c r="AV47" s="162" t="s">
        <v>9</v>
      </c>
      <c r="AW47" s="162" t="s">
        <v>9</v>
      </c>
      <c r="AX47" s="162" t="s">
        <v>9</v>
      </c>
      <c r="AY47" s="162" t="s">
        <v>9</v>
      </c>
      <c r="AZ47" s="162" t="s">
        <v>9</v>
      </c>
      <c r="BA47" s="162" t="s">
        <v>9</v>
      </c>
      <c r="BB47" s="162" t="s">
        <v>9</v>
      </c>
      <c r="BC47" s="162" t="s">
        <v>9</v>
      </c>
      <c r="BD47" s="162" t="s">
        <v>9</v>
      </c>
      <c r="BE47" s="162" t="s">
        <v>9</v>
      </c>
      <c r="BF47" s="162" t="s">
        <v>9</v>
      </c>
      <c r="BG47" s="162" t="s">
        <v>9</v>
      </c>
      <c r="BH47" s="162" t="s">
        <v>9</v>
      </c>
      <c r="BI47" s="162" t="s">
        <v>9</v>
      </c>
      <c r="BJ47" s="162" t="s">
        <v>9</v>
      </c>
      <c r="BK47" s="162" t="s">
        <v>9</v>
      </c>
      <c r="BL47" s="162" t="s">
        <v>9</v>
      </c>
      <c r="BM47" s="162" t="s">
        <v>9</v>
      </c>
      <c r="BN47" s="162" t="s">
        <v>9</v>
      </c>
      <c r="BO47" s="162" t="s">
        <v>9</v>
      </c>
      <c r="BP47" s="162" t="s">
        <v>9</v>
      </c>
      <c r="BQ47" s="162" t="s">
        <v>9</v>
      </c>
      <c r="BR47" s="162" t="s">
        <v>9</v>
      </c>
      <c r="BS47" s="194"/>
    </row>
    <row r="48" spans="1:71" hidden="1">
      <c r="A48" s="145" t="s">
        <v>218</v>
      </c>
      <c r="B48" s="145" t="s">
        <v>48</v>
      </c>
      <c r="C48" s="145">
        <v>3</v>
      </c>
      <c r="D48" s="146" t="s">
        <v>607</v>
      </c>
      <c r="E48" s="147" t="str">
        <f>IF(COUNTIF(Measure_62443_3_3[[#This Row],[G 0.13 Interception of Compromising Interference Signals]:[OPS.1.1.3.8 Manipulation of data and tools during patch and change management]],"P")&gt;0,"X","")</f>
        <v/>
      </c>
      <c r="F48" s="147" t="str">
        <f>IF(OR(Measure_62443_3_3[[#This Row],[Requirement Selected (Prefulfilled)]]="X",Measure_62443_3_3[[#This Row],[Relevance revoked]]="Yes"),"X","")</f>
        <v/>
      </c>
      <c r="G48" s="147" t="str">
        <f>IF(COUNTIF(Measure_62443_3_3[[#This Row],[G 0.13 Interception of Compromising Interference Signals]:[OPS.1.1.3.8 Manipulation of data and tools during patch and change management]],"P")&gt;0,"X","")</f>
        <v/>
      </c>
      <c r="H48" s="147" t="str">
        <f>IF(OR(Measure_62443_3_3[[#This Row],[Requirement Selected (Prefulfilled + Mitigating)]]="X",Measure_62443_3_3[[#This Row],[Relevance revoked]]="Yes"),"X","")</f>
        <v/>
      </c>
      <c r="I48" s="148" t="str">
        <f>IF(VLOOKUP(Measure_62443_3_3[[#This Row],[FR]],'SL-T'!$A$5:$B$11,2,FALSE)&gt;=Measure_62443_3_3[[#This Row],[lowest SL-T]],"X","")</f>
        <v/>
      </c>
      <c r="J48" s="160" t="s">
        <v>90</v>
      </c>
      <c r="K48" s="161"/>
      <c r="L48" s="162" t="s">
        <v>9</v>
      </c>
      <c r="M48" s="162" t="s">
        <v>9</v>
      </c>
      <c r="N48" s="162" t="s">
        <v>9</v>
      </c>
      <c r="O48" s="162" t="s">
        <v>9</v>
      </c>
      <c r="P48" s="162" t="s">
        <v>9</v>
      </c>
      <c r="Q48" s="162" t="s">
        <v>9</v>
      </c>
      <c r="R48" s="162" t="s">
        <v>9</v>
      </c>
      <c r="S48" s="162" t="s">
        <v>9</v>
      </c>
      <c r="T48" s="162" t="s">
        <v>9</v>
      </c>
      <c r="U48" s="162" t="s">
        <v>9</v>
      </c>
      <c r="V48" s="162" t="s">
        <v>9</v>
      </c>
      <c r="W48" s="162" t="s">
        <v>9</v>
      </c>
      <c r="X48" s="162" t="s">
        <v>9</v>
      </c>
      <c r="Y48" s="162" t="s">
        <v>9</v>
      </c>
      <c r="Z48" s="162" t="s">
        <v>9</v>
      </c>
      <c r="AA48" s="162" t="s">
        <v>9</v>
      </c>
      <c r="AB48" s="162" t="s">
        <v>9</v>
      </c>
      <c r="AC48" s="162" t="s">
        <v>9</v>
      </c>
      <c r="AD48" s="162" t="s">
        <v>9</v>
      </c>
      <c r="AE48" s="162" t="s">
        <v>9</v>
      </c>
      <c r="AF48" s="162" t="s">
        <v>9</v>
      </c>
      <c r="AG48" s="162" t="s">
        <v>9</v>
      </c>
      <c r="AH48" s="162" t="s">
        <v>9</v>
      </c>
      <c r="AI48" s="162" t="s">
        <v>9</v>
      </c>
      <c r="AJ48" s="162" t="s">
        <v>9</v>
      </c>
      <c r="AK48" s="162" t="s">
        <v>9</v>
      </c>
      <c r="AL48" s="162" t="s">
        <v>9</v>
      </c>
      <c r="AM48" s="162" t="s">
        <v>9</v>
      </c>
      <c r="AN48" s="162" t="s">
        <v>9</v>
      </c>
      <c r="AO48" s="162" t="s">
        <v>9</v>
      </c>
      <c r="AP48" s="162" t="s">
        <v>9</v>
      </c>
      <c r="AQ48" s="162" t="s">
        <v>9</v>
      </c>
      <c r="AR48" s="162" t="s">
        <v>9</v>
      </c>
      <c r="AS48" s="162" t="s">
        <v>9</v>
      </c>
      <c r="AT48" s="162" t="s">
        <v>9</v>
      </c>
      <c r="AU48" s="162" t="s">
        <v>9</v>
      </c>
      <c r="AV48" s="162" t="s">
        <v>9</v>
      </c>
      <c r="AW48" s="162" t="s">
        <v>9</v>
      </c>
      <c r="AX48" s="162" t="s">
        <v>9</v>
      </c>
      <c r="AY48" s="162" t="s">
        <v>9</v>
      </c>
      <c r="AZ48" s="162" t="s">
        <v>9</v>
      </c>
      <c r="BA48" s="162" t="s">
        <v>9</v>
      </c>
      <c r="BB48" s="162" t="s">
        <v>9</v>
      </c>
      <c r="BC48" s="162" t="s">
        <v>9</v>
      </c>
      <c r="BD48" s="162" t="s">
        <v>9</v>
      </c>
      <c r="BE48" s="162" t="s">
        <v>9</v>
      </c>
      <c r="BF48" s="162" t="s">
        <v>9</v>
      </c>
      <c r="BG48" s="162" t="s">
        <v>9</v>
      </c>
      <c r="BH48" s="162" t="s">
        <v>9</v>
      </c>
      <c r="BI48" s="162" t="s">
        <v>9</v>
      </c>
      <c r="BJ48" s="162" t="s">
        <v>9</v>
      </c>
      <c r="BK48" s="162" t="s">
        <v>9</v>
      </c>
      <c r="BL48" s="162" t="s">
        <v>9</v>
      </c>
      <c r="BM48" s="162" t="s">
        <v>9</v>
      </c>
      <c r="BN48" s="162" t="s">
        <v>9</v>
      </c>
      <c r="BO48" s="162" t="s">
        <v>9</v>
      </c>
      <c r="BP48" s="162" t="s">
        <v>9</v>
      </c>
      <c r="BQ48" s="162" t="s">
        <v>9</v>
      </c>
      <c r="BR48" s="162" t="s">
        <v>9</v>
      </c>
      <c r="BS48" s="194"/>
    </row>
    <row r="49" spans="1:71" hidden="1">
      <c r="A49" s="145" t="s">
        <v>219</v>
      </c>
      <c r="B49" s="145" t="s">
        <v>48</v>
      </c>
      <c r="C49" s="145">
        <v>4</v>
      </c>
      <c r="D49" s="146" t="s">
        <v>607</v>
      </c>
      <c r="E49" s="147" t="str">
        <f>IF(COUNTIF(Measure_62443_3_3[[#This Row],[G 0.13 Interception of Compromising Interference Signals]:[OPS.1.1.3.8 Manipulation of data and tools during patch and change management]],"P")&gt;0,"X","")</f>
        <v/>
      </c>
      <c r="F49" s="147" t="str">
        <f>IF(OR(Measure_62443_3_3[[#This Row],[Requirement Selected (Prefulfilled)]]="X",Measure_62443_3_3[[#This Row],[Relevance revoked]]="Yes"),"X","")</f>
        <v/>
      </c>
      <c r="G49" s="147" t="str">
        <f>IF(COUNTIF(Measure_62443_3_3[[#This Row],[G 0.13 Interception of Compromising Interference Signals]:[OPS.1.1.3.8 Manipulation of data and tools during patch and change management]],"P")&gt;0,"X","")</f>
        <v/>
      </c>
      <c r="H49" s="147" t="str">
        <f>IF(OR(Measure_62443_3_3[[#This Row],[Requirement Selected (Prefulfilled + Mitigating)]]="X",Measure_62443_3_3[[#This Row],[Relevance revoked]]="Yes"),"X","")</f>
        <v/>
      </c>
      <c r="I49" s="148" t="str">
        <f>IF(VLOOKUP(Measure_62443_3_3[[#This Row],[FR]],'SL-T'!$A$5:$B$11,2,FALSE)&gt;=Measure_62443_3_3[[#This Row],[lowest SL-T]],"X","")</f>
        <v/>
      </c>
      <c r="J49" s="160" t="s">
        <v>90</v>
      </c>
      <c r="K49" s="161"/>
      <c r="L49" s="162" t="s">
        <v>9</v>
      </c>
      <c r="M49" s="162" t="s">
        <v>9</v>
      </c>
      <c r="N49" s="162" t="s">
        <v>9</v>
      </c>
      <c r="O49" s="162" t="s">
        <v>9</v>
      </c>
      <c r="P49" s="162" t="s">
        <v>9</v>
      </c>
      <c r="Q49" s="162" t="s">
        <v>9</v>
      </c>
      <c r="R49" s="162" t="s">
        <v>9</v>
      </c>
      <c r="S49" s="162" t="s">
        <v>9</v>
      </c>
      <c r="T49" s="162" t="s">
        <v>9</v>
      </c>
      <c r="U49" s="162" t="s">
        <v>9</v>
      </c>
      <c r="V49" s="162" t="s">
        <v>9</v>
      </c>
      <c r="W49" s="162" t="s">
        <v>9</v>
      </c>
      <c r="X49" s="162" t="s">
        <v>9</v>
      </c>
      <c r="Y49" s="162" t="s">
        <v>9</v>
      </c>
      <c r="Z49" s="162" t="s">
        <v>9</v>
      </c>
      <c r="AA49" s="162" t="s">
        <v>9</v>
      </c>
      <c r="AB49" s="162" t="s">
        <v>9</v>
      </c>
      <c r="AC49" s="162" t="s">
        <v>9</v>
      </c>
      <c r="AD49" s="162" t="s">
        <v>9</v>
      </c>
      <c r="AE49" s="162" t="s">
        <v>9</v>
      </c>
      <c r="AF49" s="162" t="s">
        <v>9</v>
      </c>
      <c r="AG49" s="162" t="s">
        <v>9</v>
      </c>
      <c r="AH49" s="162" t="s">
        <v>9</v>
      </c>
      <c r="AI49" s="162" t="s">
        <v>9</v>
      </c>
      <c r="AJ49" s="162" t="s">
        <v>9</v>
      </c>
      <c r="AK49" s="162" t="s">
        <v>9</v>
      </c>
      <c r="AL49" s="162" t="s">
        <v>9</v>
      </c>
      <c r="AM49" s="162" t="s">
        <v>9</v>
      </c>
      <c r="AN49" s="162" t="s">
        <v>9</v>
      </c>
      <c r="AO49" s="162" t="s">
        <v>9</v>
      </c>
      <c r="AP49" s="162" t="s">
        <v>9</v>
      </c>
      <c r="AQ49" s="162" t="s">
        <v>9</v>
      </c>
      <c r="AR49" s="162" t="s">
        <v>9</v>
      </c>
      <c r="AS49" s="162" t="s">
        <v>9</v>
      </c>
      <c r="AT49" s="162" t="s">
        <v>9</v>
      </c>
      <c r="AU49" s="162" t="s">
        <v>9</v>
      </c>
      <c r="AV49" s="162" t="s">
        <v>9</v>
      </c>
      <c r="AW49" s="162" t="s">
        <v>9</v>
      </c>
      <c r="AX49" s="162" t="s">
        <v>9</v>
      </c>
      <c r="AY49" s="162" t="s">
        <v>9</v>
      </c>
      <c r="AZ49" s="162" t="s">
        <v>9</v>
      </c>
      <c r="BA49" s="162" t="s">
        <v>9</v>
      </c>
      <c r="BB49" s="162" t="s">
        <v>9</v>
      </c>
      <c r="BC49" s="162" t="s">
        <v>9</v>
      </c>
      <c r="BD49" s="162" t="s">
        <v>9</v>
      </c>
      <c r="BE49" s="162" t="s">
        <v>9</v>
      </c>
      <c r="BF49" s="162" t="s">
        <v>9</v>
      </c>
      <c r="BG49" s="162" t="s">
        <v>9</v>
      </c>
      <c r="BH49" s="162" t="s">
        <v>9</v>
      </c>
      <c r="BI49" s="162" t="s">
        <v>9</v>
      </c>
      <c r="BJ49" s="162" t="s">
        <v>9</v>
      </c>
      <c r="BK49" s="162" t="s">
        <v>9</v>
      </c>
      <c r="BL49" s="162" t="s">
        <v>9</v>
      </c>
      <c r="BM49" s="162" t="s">
        <v>9</v>
      </c>
      <c r="BN49" s="162" t="s">
        <v>9</v>
      </c>
      <c r="BO49" s="162" t="s">
        <v>9</v>
      </c>
      <c r="BP49" s="162" t="s">
        <v>9</v>
      </c>
      <c r="BQ49" s="162" t="s">
        <v>9</v>
      </c>
      <c r="BR49" s="162" t="s">
        <v>9</v>
      </c>
      <c r="BS49" s="194"/>
    </row>
    <row r="50" spans="1:71" hidden="1">
      <c r="A50" s="145" t="s">
        <v>220</v>
      </c>
      <c r="B50" s="145" t="s">
        <v>48</v>
      </c>
      <c r="C50" s="145">
        <v>3</v>
      </c>
      <c r="D50" s="146" t="s">
        <v>607</v>
      </c>
      <c r="E50" s="147" t="str">
        <f>IF(COUNTIF(Measure_62443_3_3[[#This Row],[G 0.13 Interception of Compromising Interference Signals]:[OPS.1.1.3.8 Manipulation of data and tools during patch and change management]],"P")&gt;0,"X","")</f>
        <v/>
      </c>
      <c r="F50" s="147" t="str">
        <f>IF(OR(Measure_62443_3_3[[#This Row],[Requirement Selected (Prefulfilled)]]="X",Measure_62443_3_3[[#This Row],[Relevance revoked]]="Yes"),"X","")</f>
        <v/>
      </c>
      <c r="G50" s="147" t="str">
        <f>IF(COUNTIF(Measure_62443_3_3[[#This Row],[G 0.13 Interception of Compromising Interference Signals]:[OPS.1.1.3.8 Manipulation of data and tools during patch and change management]],"P")&gt;0,"X","")</f>
        <v/>
      </c>
      <c r="H50" s="147" t="str">
        <f>IF(OR(Measure_62443_3_3[[#This Row],[Requirement Selected (Prefulfilled + Mitigating)]]="X",Measure_62443_3_3[[#This Row],[Relevance revoked]]="Yes"),"X","")</f>
        <v/>
      </c>
      <c r="I50" s="148" t="str">
        <f>IF(VLOOKUP(Measure_62443_3_3[[#This Row],[FR]],'SL-T'!$A$5:$B$11,2,FALSE)&gt;=Measure_62443_3_3[[#This Row],[lowest SL-T]],"X","")</f>
        <v/>
      </c>
      <c r="J50" s="160" t="s">
        <v>90</v>
      </c>
      <c r="K50" s="161"/>
      <c r="L50" s="162" t="s">
        <v>9</v>
      </c>
      <c r="M50" s="162" t="s">
        <v>9</v>
      </c>
      <c r="N50" s="162" t="s">
        <v>9</v>
      </c>
      <c r="O50" s="162" t="s">
        <v>9</v>
      </c>
      <c r="P50" s="162" t="s">
        <v>9</v>
      </c>
      <c r="Q50" s="162" t="s">
        <v>9</v>
      </c>
      <c r="R50" s="162" t="s">
        <v>9</v>
      </c>
      <c r="S50" s="162" t="s">
        <v>9</v>
      </c>
      <c r="T50" s="162" t="s">
        <v>9</v>
      </c>
      <c r="U50" s="162" t="s">
        <v>9</v>
      </c>
      <c r="V50" s="162" t="s">
        <v>9</v>
      </c>
      <c r="W50" s="162" t="s">
        <v>9</v>
      </c>
      <c r="X50" s="162" t="s">
        <v>9</v>
      </c>
      <c r="Y50" s="162" t="s">
        <v>9</v>
      </c>
      <c r="Z50" s="162" t="s">
        <v>9</v>
      </c>
      <c r="AA50" s="162" t="s">
        <v>9</v>
      </c>
      <c r="AB50" s="162" t="s">
        <v>9</v>
      </c>
      <c r="AC50" s="162" t="s">
        <v>9</v>
      </c>
      <c r="AD50" s="162" t="s">
        <v>9</v>
      </c>
      <c r="AE50" s="162" t="s">
        <v>9</v>
      </c>
      <c r="AF50" s="162" t="s">
        <v>9</v>
      </c>
      <c r="AG50" s="162" t="s">
        <v>9</v>
      </c>
      <c r="AH50" s="162" t="s">
        <v>9</v>
      </c>
      <c r="AI50" s="162" t="s">
        <v>9</v>
      </c>
      <c r="AJ50" s="162" t="s">
        <v>9</v>
      </c>
      <c r="AK50" s="162" t="s">
        <v>9</v>
      </c>
      <c r="AL50" s="162" t="s">
        <v>9</v>
      </c>
      <c r="AM50" s="162" t="s">
        <v>9</v>
      </c>
      <c r="AN50" s="162" t="s">
        <v>9</v>
      </c>
      <c r="AO50" s="162" t="s">
        <v>9</v>
      </c>
      <c r="AP50" s="162" t="s">
        <v>9</v>
      </c>
      <c r="AQ50" s="162" t="s">
        <v>9</v>
      </c>
      <c r="AR50" s="162" t="s">
        <v>9</v>
      </c>
      <c r="AS50" s="162" t="s">
        <v>9</v>
      </c>
      <c r="AT50" s="162" t="s">
        <v>9</v>
      </c>
      <c r="AU50" s="162" t="s">
        <v>9</v>
      </c>
      <c r="AV50" s="162" t="s">
        <v>9</v>
      </c>
      <c r="AW50" s="162" t="s">
        <v>9</v>
      </c>
      <c r="AX50" s="162" t="s">
        <v>9</v>
      </c>
      <c r="AY50" s="162" t="s">
        <v>9</v>
      </c>
      <c r="AZ50" s="162" t="s">
        <v>9</v>
      </c>
      <c r="BA50" s="162" t="s">
        <v>9</v>
      </c>
      <c r="BB50" s="162" t="s">
        <v>9</v>
      </c>
      <c r="BC50" s="162" t="s">
        <v>9</v>
      </c>
      <c r="BD50" s="162" t="s">
        <v>9</v>
      </c>
      <c r="BE50" s="162" t="s">
        <v>9</v>
      </c>
      <c r="BF50" s="162" t="s">
        <v>9</v>
      </c>
      <c r="BG50" s="162" t="s">
        <v>9</v>
      </c>
      <c r="BH50" s="162" t="s">
        <v>9</v>
      </c>
      <c r="BI50" s="162" t="s">
        <v>9</v>
      </c>
      <c r="BJ50" s="162" t="s">
        <v>9</v>
      </c>
      <c r="BK50" s="162" t="s">
        <v>9</v>
      </c>
      <c r="BL50" s="162" t="s">
        <v>9</v>
      </c>
      <c r="BM50" s="162" t="s">
        <v>9</v>
      </c>
      <c r="BN50" s="162" t="s">
        <v>9</v>
      </c>
      <c r="BO50" s="162" t="s">
        <v>9</v>
      </c>
      <c r="BP50" s="162" t="s">
        <v>9</v>
      </c>
      <c r="BQ50" s="162" t="s">
        <v>9</v>
      </c>
      <c r="BR50" s="162" t="s">
        <v>9</v>
      </c>
      <c r="BS50" s="194"/>
    </row>
    <row r="51" spans="1:71" hidden="1">
      <c r="A51" s="145" t="s">
        <v>221</v>
      </c>
      <c r="B51" s="145" t="s">
        <v>48</v>
      </c>
      <c r="C51" s="145">
        <v>4</v>
      </c>
      <c r="D51" s="146" t="s">
        <v>607</v>
      </c>
      <c r="E51" s="147" t="str">
        <f>IF(COUNTIF(Measure_62443_3_3[[#This Row],[G 0.13 Interception of Compromising Interference Signals]:[OPS.1.1.3.8 Manipulation of data and tools during patch and change management]],"P")&gt;0,"X","")</f>
        <v/>
      </c>
      <c r="F51" s="147" t="str">
        <f>IF(OR(Measure_62443_3_3[[#This Row],[Requirement Selected (Prefulfilled)]]="X",Measure_62443_3_3[[#This Row],[Relevance revoked]]="Yes"),"X","")</f>
        <v/>
      </c>
      <c r="G51" s="147" t="str">
        <f>IF(COUNTIF(Measure_62443_3_3[[#This Row],[G 0.13 Interception of Compromising Interference Signals]:[OPS.1.1.3.8 Manipulation of data and tools during patch and change management]],"P")&gt;0,"X","")</f>
        <v/>
      </c>
      <c r="H51" s="147" t="str">
        <f>IF(OR(Measure_62443_3_3[[#This Row],[Requirement Selected (Prefulfilled + Mitigating)]]="X",Measure_62443_3_3[[#This Row],[Relevance revoked]]="Yes"),"X","")</f>
        <v/>
      </c>
      <c r="I51" s="148" t="str">
        <f>IF(VLOOKUP(Measure_62443_3_3[[#This Row],[FR]],'SL-T'!$A$5:$B$11,2,FALSE)&gt;=Measure_62443_3_3[[#This Row],[lowest SL-T]],"X","")</f>
        <v/>
      </c>
      <c r="J51" s="160" t="s">
        <v>90</v>
      </c>
      <c r="K51" s="161"/>
      <c r="L51" s="162" t="s">
        <v>9</v>
      </c>
      <c r="M51" s="162" t="s">
        <v>9</v>
      </c>
      <c r="N51" s="162" t="s">
        <v>9</v>
      </c>
      <c r="O51" s="162" t="s">
        <v>9</v>
      </c>
      <c r="P51" s="162" t="s">
        <v>9</v>
      </c>
      <c r="Q51" s="162" t="s">
        <v>9</v>
      </c>
      <c r="R51" s="162" t="s">
        <v>9</v>
      </c>
      <c r="S51" s="162" t="s">
        <v>9</v>
      </c>
      <c r="T51" s="162" t="s">
        <v>9</v>
      </c>
      <c r="U51" s="162" t="s">
        <v>9</v>
      </c>
      <c r="V51" s="162" t="s">
        <v>9</v>
      </c>
      <c r="W51" s="162" t="s">
        <v>9</v>
      </c>
      <c r="X51" s="162" t="s">
        <v>9</v>
      </c>
      <c r="Y51" s="162" t="s">
        <v>9</v>
      </c>
      <c r="Z51" s="162" t="s">
        <v>9</v>
      </c>
      <c r="AA51" s="162" t="s">
        <v>9</v>
      </c>
      <c r="AB51" s="162" t="s">
        <v>9</v>
      </c>
      <c r="AC51" s="162" t="s">
        <v>9</v>
      </c>
      <c r="AD51" s="162" t="s">
        <v>9</v>
      </c>
      <c r="AE51" s="162" t="s">
        <v>9</v>
      </c>
      <c r="AF51" s="162" t="s">
        <v>9</v>
      </c>
      <c r="AG51" s="162" t="s">
        <v>9</v>
      </c>
      <c r="AH51" s="162" t="s">
        <v>9</v>
      </c>
      <c r="AI51" s="162" t="s">
        <v>9</v>
      </c>
      <c r="AJ51" s="162" t="s">
        <v>9</v>
      </c>
      <c r="AK51" s="162" t="s">
        <v>9</v>
      </c>
      <c r="AL51" s="162" t="s">
        <v>9</v>
      </c>
      <c r="AM51" s="162" t="s">
        <v>9</v>
      </c>
      <c r="AN51" s="162" t="s">
        <v>9</v>
      </c>
      <c r="AO51" s="162" t="s">
        <v>9</v>
      </c>
      <c r="AP51" s="162" t="s">
        <v>9</v>
      </c>
      <c r="AQ51" s="162" t="s">
        <v>9</v>
      </c>
      <c r="AR51" s="162" t="s">
        <v>9</v>
      </c>
      <c r="AS51" s="162" t="s">
        <v>9</v>
      </c>
      <c r="AT51" s="162" t="s">
        <v>9</v>
      </c>
      <c r="AU51" s="162" t="s">
        <v>9</v>
      </c>
      <c r="AV51" s="162" t="s">
        <v>9</v>
      </c>
      <c r="AW51" s="162" t="s">
        <v>9</v>
      </c>
      <c r="AX51" s="162" t="s">
        <v>9</v>
      </c>
      <c r="AY51" s="162" t="s">
        <v>9</v>
      </c>
      <c r="AZ51" s="162" t="s">
        <v>9</v>
      </c>
      <c r="BA51" s="162" t="s">
        <v>9</v>
      </c>
      <c r="BB51" s="162" t="s">
        <v>9</v>
      </c>
      <c r="BC51" s="162" t="s">
        <v>9</v>
      </c>
      <c r="BD51" s="162" t="s">
        <v>9</v>
      </c>
      <c r="BE51" s="162" t="s">
        <v>9</v>
      </c>
      <c r="BF51" s="162" t="s">
        <v>9</v>
      </c>
      <c r="BG51" s="162" t="s">
        <v>9</v>
      </c>
      <c r="BH51" s="162" t="s">
        <v>9</v>
      </c>
      <c r="BI51" s="162" t="s">
        <v>9</v>
      </c>
      <c r="BJ51" s="162" t="s">
        <v>9</v>
      </c>
      <c r="BK51" s="162" t="s">
        <v>9</v>
      </c>
      <c r="BL51" s="162" t="s">
        <v>9</v>
      </c>
      <c r="BM51" s="162" t="s">
        <v>9</v>
      </c>
      <c r="BN51" s="162" t="s">
        <v>9</v>
      </c>
      <c r="BO51" s="162" t="s">
        <v>9</v>
      </c>
      <c r="BP51" s="162" t="s">
        <v>9</v>
      </c>
      <c r="BQ51" s="162" t="s">
        <v>9</v>
      </c>
      <c r="BR51" s="162" t="s">
        <v>9</v>
      </c>
      <c r="BS51" s="194"/>
    </row>
    <row r="52" spans="1:71" hidden="1">
      <c r="A52" s="145" t="s">
        <v>222</v>
      </c>
      <c r="B52" s="145" t="s">
        <v>49</v>
      </c>
      <c r="C52" s="145">
        <v>1</v>
      </c>
      <c r="D52" s="146" t="s">
        <v>607</v>
      </c>
      <c r="E52" s="147" t="str">
        <f>IF(COUNTIF(Measure_62443_3_3[[#This Row],[G 0.13 Interception of Compromising Interference Signals]:[OPS.1.1.3.8 Manipulation of data and tools during patch and change management]],"P")&gt;0,"X","")</f>
        <v/>
      </c>
      <c r="F52" s="147" t="str">
        <f>IF(OR(Measure_62443_3_3[[#This Row],[Requirement Selected (Prefulfilled)]]="X",Measure_62443_3_3[[#This Row],[Relevance revoked]]="Yes"),"X","")</f>
        <v/>
      </c>
      <c r="G52" s="147" t="str">
        <f>IF(COUNTIF(Measure_62443_3_3[[#This Row],[G 0.13 Interception of Compromising Interference Signals]:[OPS.1.1.3.8 Manipulation of data and tools during patch and change management]],"P")&gt;0,"X","")</f>
        <v/>
      </c>
      <c r="H52" s="147" t="str">
        <f>IF(OR(Measure_62443_3_3[[#This Row],[Requirement Selected (Prefulfilled + Mitigating)]]="X",Measure_62443_3_3[[#This Row],[Relevance revoked]]="Yes"),"X","")</f>
        <v/>
      </c>
      <c r="I52" s="148" t="str">
        <f>IF(VLOOKUP(Measure_62443_3_3[[#This Row],[FR]],'SL-T'!$A$5:$B$11,2,FALSE)&gt;=Measure_62443_3_3[[#This Row],[lowest SL-T]],"X","")</f>
        <v/>
      </c>
      <c r="J52" s="160" t="s">
        <v>90</v>
      </c>
      <c r="K52" s="161"/>
      <c r="L52" s="162" t="s">
        <v>9</v>
      </c>
      <c r="M52" s="162" t="s">
        <v>9</v>
      </c>
      <c r="N52" s="162" t="s">
        <v>9</v>
      </c>
      <c r="O52" s="162" t="s">
        <v>9</v>
      </c>
      <c r="P52" s="162" t="s">
        <v>9</v>
      </c>
      <c r="Q52" s="162" t="s">
        <v>9</v>
      </c>
      <c r="R52" s="162" t="s">
        <v>9</v>
      </c>
      <c r="S52" s="162" t="s">
        <v>9</v>
      </c>
      <c r="T52" s="162" t="s">
        <v>9</v>
      </c>
      <c r="U52" s="162" t="s">
        <v>9</v>
      </c>
      <c r="V52" s="162" t="s">
        <v>9</v>
      </c>
      <c r="W52" s="162" t="s">
        <v>9</v>
      </c>
      <c r="X52" s="162" t="s">
        <v>9</v>
      </c>
      <c r="Y52" s="162" t="s">
        <v>9</v>
      </c>
      <c r="Z52" s="162" t="s">
        <v>9</v>
      </c>
      <c r="AA52" s="162" t="s">
        <v>9</v>
      </c>
      <c r="AB52" s="162" t="s">
        <v>9</v>
      </c>
      <c r="AC52" s="162" t="s">
        <v>9</v>
      </c>
      <c r="AD52" s="162" t="s">
        <v>9</v>
      </c>
      <c r="AE52" s="162" t="s">
        <v>9</v>
      </c>
      <c r="AF52" s="162" t="s">
        <v>9</v>
      </c>
      <c r="AG52" s="162" t="s">
        <v>9</v>
      </c>
      <c r="AH52" s="162" t="s">
        <v>9</v>
      </c>
      <c r="AI52" s="162" t="s">
        <v>9</v>
      </c>
      <c r="AJ52" s="162" t="s">
        <v>9</v>
      </c>
      <c r="AK52" s="162" t="s">
        <v>9</v>
      </c>
      <c r="AL52" s="162" t="s">
        <v>9</v>
      </c>
      <c r="AM52" s="162" t="s">
        <v>9</v>
      </c>
      <c r="AN52" s="162" t="s">
        <v>9</v>
      </c>
      <c r="AO52" s="162" t="s">
        <v>9</v>
      </c>
      <c r="AP52" s="162" t="s">
        <v>9</v>
      </c>
      <c r="AQ52" s="162" t="s">
        <v>9</v>
      </c>
      <c r="AR52" s="162" t="s">
        <v>9</v>
      </c>
      <c r="AS52" s="162" t="s">
        <v>9</v>
      </c>
      <c r="AT52" s="162" t="s">
        <v>9</v>
      </c>
      <c r="AU52" s="162" t="s">
        <v>9</v>
      </c>
      <c r="AV52" s="162" t="s">
        <v>9</v>
      </c>
      <c r="AW52" s="162" t="s">
        <v>9</v>
      </c>
      <c r="AX52" s="162" t="s">
        <v>9</v>
      </c>
      <c r="AY52" s="162" t="s">
        <v>9</v>
      </c>
      <c r="AZ52" s="162" t="s">
        <v>9</v>
      </c>
      <c r="BA52" s="162" t="s">
        <v>9</v>
      </c>
      <c r="BB52" s="162" t="s">
        <v>9</v>
      </c>
      <c r="BC52" s="162" t="s">
        <v>9</v>
      </c>
      <c r="BD52" s="162" t="s">
        <v>9</v>
      </c>
      <c r="BE52" s="162" t="s">
        <v>9</v>
      </c>
      <c r="BF52" s="162" t="s">
        <v>9</v>
      </c>
      <c r="BG52" s="162" t="s">
        <v>9</v>
      </c>
      <c r="BH52" s="162" t="s">
        <v>9</v>
      </c>
      <c r="BI52" s="162" t="s">
        <v>9</v>
      </c>
      <c r="BJ52" s="162" t="s">
        <v>9</v>
      </c>
      <c r="BK52" s="162" t="s">
        <v>9</v>
      </c>
      <c r="BL52" s="162" t="s">
        <v>9</v>
      </c>
      <c r="BM52" s="162" t="s">
        <v>9</v>
      </c>
      <c r="BN52" s="162" t="s">
        <v>9</v>
      </c>
      <c r="BO52" s="162" t="s">
        <v>9</v>
      </c>
      <c r="BP52" s="162" t="s">
        <v>9</v>
      </c>
      <c r="BQ52" s="162" t="s">
        <v>9</v>
      </c>
      <c r="BR52" s="162" t="s">
        <v>9</v>
      </c>
      <c r="BS52" s="194"/>
    </row>
    <row r="53" spans="1:71" hidden="1">
      <c r="A53" s="145" t="s">
        <v>223</v>
      </c>
      <c r="B53" s="145" t="s">
        <v>49</v>
      </c>
      <c r="C53" s="145">
        <v>3</v>
      </c>
      <c r="D53" s="146" t="s">
        <v>607</v>
      </c>
      <c r="E53" s="147" t="str">
        <f>IF(COUNTIF(Measure_62443_3_3[[#This Row],[G 0.13 Interception of Compromising Interference Signals]:[OPS.1.1.3.8 Manipulation of data and tools during patch and change management]],"P")&gt;0,"X","")</f>
        <v/>
      </c>
      <c r="F53" s="147" t="str">
        <f>IF(OR(Measure_62443_3_3[[#This Row],[Requirement Selected (Prefulfilled)]]="X",Measure_62443_3_3[[#This Row],[Relevance revoked]]="Yes"),"X","")</f>
        <v/>
      </c>
      <c r="G53" s="147" t="str">
        <f>IF(COUNTIF(Measure_62443_3_3[[#This Row],[G 0.13 Interception of Compromising Interference Signals]:[OPS.1.1.3.8 Manipulation of data and tools during patch and change management]],"P")&gt;0,"X","")</f>
        <v/>
      </c>
      <c r="H53" s="147" t="str">
        <f>IF(OR(Measure_62443_3_3[[#This Row],[Requirement Selected (Prefulfilled + Mitigating)]]="X",Measure_62443_3_3[[#This Row],[Relevance revoked]]="Yes"),"X","")</f>
        <v/>
      </c>
      <c r="I53" s="148" t="str">
        <f>IF(VLOOKUP(Measure_62443_3_3[[#This Row],[FR]],'SL-T'!$A$5:$B$11,2,FALSE)&gt;=Measure_62443_3_3[[#This Row],[lowest SL-T]],"X","")</f>
        <v/>
      </c>
      <c r="J53" s="160" t="s">
        <v>90</v>
      </c>
      <c r="K53" s="161"/>
      <c r="L53" s="162" t="s">
        <v>9</v>
      </c>
      <c r="M53" s="162" t="s">
        <v>9</v>
      </c>
      <c r="N53" s="162" t="s">
        <v>9</v>
      </c>
      <c r="O53" s="162" t="s">
        <v>9</v>
      </c>
      <c r="P53" s="162" t="s">
        <v>9</v>
      </c>
      <c r="Q53" s="162" t="s">
        <v>9</v>
      </c>
      <c r="R53" s="162" t="s">
        <v>9</v>
      </c>
      <c r="S53" s="162" t="s">
        <v>9</v>
      </c>
      <c r="T53" s="162" t="s">
        <v>9</v>
      </c>
      <c r="U53" s="162" t="s">
        <v>9</v>
      </c>
      <c r="V53" s="162" t="s">
        <v>9</v>
      </c>
      <c r="W53" s="162" t="s">
        <v>9</v>
      </c>
      <c r="X53" s="162" t="s">
        <v>9</v>
      </c>
      <c r="Y53" s="162" t="s">
        <v>9</v>
      </c>
      <c r="Z53" s="162" t="s">
        <v>9</v>
      </c>
      <c r="AA53" s="162" t="s">
        <v>9</v>
      </c>
      <c r="AB53" s="162" t="s">
        <v>9</v>
      </c>
      <c r="AC53" s="162" t="s">
        <v>9</v>
      </c>
      <c r="AD53" s="162" t="s">
        <v>9</v>
      </c>
      <c r="AE53" s="162" t="s">
        <v>9</v>
      </c>
      <c r="AF53" s="162" t="s">
        <v>9</v>
      </c>
      <c r="AG53" s="162" t="s">
        <v>9</v>
      </c>
      <c r="AH53" s="162" t="s">
        <v>9</v>
      </c>
      <c r="AI53" s="162" t="s">
        <v>9</v>
      </c>
      <c r="AJ53" s="162" t="s">
        <v>9</v>
      </c>
      <c r="AK53" s="162" t="s">
        <v>9</v>
      </c>
      <c r="AL53" s="162" t="s">
        <v>9</v>
      </c>
      <c r="AM53" s="162" t="s">
        <v>9</v>
      </c>
      <c r="AN53" s="162" t="s">
        <v>9</v>
      </c>
      <c r="AO53" s="162" t="s">
        <v>9</v>
      </c>
      <c r="AP53" s="162" t="s">
        <v>9</v>
      </c>
      <c r="AQ53" s="162" t="s">
        <v>9</v>
      </c>
      <c r="AR53" s="162" t="s">
        <v>9</v>
      </c>
      <c r="AS53" s="162" t="s">
        <v>9</v>
      </c>
      <c r="AT53" s="162" t="s">
        <v>9</v>
      </c>
      <c r="AU53" s="162" t="s">
        <v>9</v>
      </c>
      <c r="AV53" s="162" t="s">
        <v>9</v>
      </c>
      <c r="AW53" s="162" t="s">
        <v>9</v>
      </c>
      <c r="AX53" s="162" t="s">
        <v>9</v>
      </c>
      <c r="AY53" s="162" t="s">
        <v>9</v>
      </c>
      <c r="AZ53" s="162" t="s">
        <v>9</v>
      </c>
      <c r="BA53" s="162" t="s">
        <v>9</v>
      </c>
      <c r="BB53" s="162" t="s">
        <v>9</v>
      </c>
      <c r="BC53" s="162" t="s">
        <v>9</v>
      </c>
      <c r="BD53" s="162" t="s">
        <v>9</v>
      </c>
      <c r="BE53" s="162" t="s">
        <v>9</v>
      </c>
      <c r="BF53" s="162" t="s">
        <v>9</v>
      </c>
      <c r="BG53" s="162" t="s">
        <v>9</v>
      </c>
      <c r="BH53" s="162" t="s">
        <v>9</v>
      </c>
      <c r="BI53" s="162" t="s">
        <v>9</v>
      </c>
      <c r="BJ53" s="162" t="s">
        <v>9</v>
      </c>
      <c r="BK53" s="162" t="s">
        <v>9</v>
      </c>
      <c r="BL53" s="162" t="s">
        <v>9</v>
      </c>
      <c r="BM53" s="162" t="s">
        <v>9</v>
      </c>
      <c r="BN53" s="162" t="s">
        <v>9</v>
      </c>
      <c r="BO53" s="162" t="s">
        <v>9</v>
      </c>
      <c r="BP53" s="162" t="s">
        <v>9</v>
      </c>
      <c r="BQ53" s="162" t="s">
        <v>9</v>
      </c>
      <c r="BR53" s="162" t="s">
        <v>9</v>
      </c>
      <c r="BS53" s="194"/>
    </row>
    <row r="54" spans="1:71" hidden="1">
      <c r="A54" s="145" t="s">
        <v>224</v>
      </c>
      <c r="B54" s="145" t="s">
        <v>49</v>
      </c>
      <c r="C54" s="145">
        <v>1</v>
      </c>
      <c r="D54" s="146" t="s">
        <v>607</v>
      </c>
      <c r="E54" s="147" t="str">
        <f>IF(COUNTIF(Measure_62443_3_3[[#This Row],[G 0.13 Interception of Compromising Interference Signals]:[OPS.1.1.3.8 Manipulation of data and tools during patch and change management]],"P")&gt;0,"X","")</f>
        <v/>
      </c>
      <c r="F54" s="147" t="str">
        <f>IF(OR(Measure_62443_3_3[[#This Row],[Requirement Selected (Prefulfilled)]]="X",Measure_62443_3_3[[#This Row],[Relevance revoked]]="Yes"),"X","")</f>
        <v/>
      </c>
      <c r="G54" s="147" t="str">
        <f>IF(COUNTIF(Measure_62443_3_3[[#This Row],[G 0.13 Interception of Compromising Interference Signals]:[OPS.1.1.3.8 Manipulation of data and tools during patch and change management]],"P")&gt;0,"X","")</f>
        <v/>
      </c>
      <c r="H54" s="147" t="str">
        <f>IF(OR(Measure_62443_3_3[[#This Row],[Requirement Selected (Prefulfilled + Mitigating)]]="X",Measure_62443_3_3[[#This Row],[Relevance revoked]]="Yes"),"X","")</f>
        <v/>
      </c>
      <c r="I54" s="148" t="str">
        <f>IF(VLOOKUP(Measure_62443_3_3[[#This Row],[FR]],'SL-T'!$A$5:$B$11,2,FALSE)&gt;=Measure_62443_3_3[[#This Row],[lowest SL-T]],"X","")</f>
        <v/>
      </c>
      <c r="J54" s="160" t="s">
        <v>90</v>
      </c>
      <c r="K54" s="161"/>
      <c r="L54" s="162" t="s">
        <v>9</v>
      </c>
      <c r="M54" s="162" t="s">
        <v>9</v>
      </c>
      <c r="N54" s="162" t="s">
        <v>9</v>
      </c>
      <c r="O54" s="162" t="s">
        <v>9</v>
      </c>
      <c r="P54" s="162" t="s">
        <v>9</v>
      </c>
      <c r="Q54" s="162" t="s">
        <v>9</v>
      </c>
      <c r="R54" s="162" t="s">
        <v>9</v>
      </c>
      <c r="S54" s="162" t="s">
        <v>9</v>
      </c>
      <c r="T54" s="162" t="s">
        <v>9</v>
      </c>
      <c r="U54" s="162" t="s">
        <v>9</v>
      </c>
      <c r="V54" s="162" t="s">
        <v>9</v>
      </c>
      <c r="W54" s="162" t="s">
        <v>9</v>
      </c>
      <c r="X54" s="162" t="s">
        <v>9</v>
      </c>
      <c r="Y54" s="162" t="s">
        <v>9</v>
      </c>
      <c r="Z54" s="162" t="s">
        <v>9</v>
      </c>
      <c r="AA54" s="162" t="s">
        <v>9</v>
      </c>
      <c r="AB54" s="162" t="s">
        <v>9</v>
      </c>
      <c r="AC54" s="162" t="s">
        <v>9</v>
      </c>
      <c r="AD54" s="162" t="s">
        <v>9</v>
      </c>
      <c r="AE54" s="162" t="s">
        <v>9</v>
      </c>
      <c r="AF54" s="162" t="s">
        <v>9</v>
      </c>
      <c r="AG54" s="162" t="s">
        <v>9</v>
      </c>
      <c r="AH54" s="162" t="s">
        <v>9</v>
      </c>
      <c r="AI54" s="162" t="s">
        <v>9</v>
      </c>
      <c r="AJ54" s="162" t="s">
        <v>9</v>
      </c>
      <c r="AK54" s="162" t="s">
        <v>9</v>
      </c>
      <c r="AL54" s="162" t="s">
        <v>9</v>
      </c>
      <c r="AM54" s="162" t="s">
        <v>9</v>
      </c>
      <c r="AN54" s="162" t="s">
        <v>9</v>
      </c>
      <c r="AO54" s="162" t="s">
        <v>9</v>
      </c>
      <c r="AP54" s="162" t="s">
        <v>9</v>
      </c>
      <c r="AQ54" s="162" t="s">
        <v>9</v>
      </c>
      <c r="AR54" s="162" t="s">
        <v>9</v>
      </c>
      <c r="AS54" s="162" t="s">
        <v>9</v>
      </c>
      <c r="AT54" s="162" t="s">
        <v>9</v>
      </c>
      <c r="AU54" s="162" t="s">
        <v>9</v>
      </c>
      <c r="AV54" s="162" t="s">
        <v>9</v>
      </c>
      <c r="AW54" s="162" t="s">
        <v>9</v>
      </c>
      <c r="AX54" s="162" t="s">
        <v>9</v>
      </c>
      <c r="AY54" s="162" t="s">
        <v>9</v>
      </c>
      <c r="AZ54" s="162" t="s">
        <v>9</v>
      </c>
      <c r="BA54" s="162" t="s">
        <v>9</v>
      </c>
      <c r="BB54" s="162" t="s">
        <v>9</v>
      </c>
      <c r="BC54" s="162" t="s">
        <v>9</v>
      </c>
      <c r="BD54" s="162" t="s">
        <v>9</v>
      </c>
      <c r="BE54" s="162" t="s">
        <v>9</v>
      </c>
      <c r="BF54" s="162" t="s">
        <v>9</v>
      </c>
      <c r="BG54" s="162" t="s">
        <v>9</v>
      </c>
      <c r="BH54" s="162" t="s">
        <v>9</v>
      </c>
      <c r="BI54" s="162" t="s">
        <v>9</v>
      </c>
      <c r="BJ54" s="162" t="s">
        <v>9</v>
      </c>
      <c r="BK54" s="162" t="s">
        <v>9</v>
      </c>
      <c r="BL54" s="162" t="s">
        <v>9</v>
      </c>
      <c r="BM54" s="162" t="s">
        <v>9</v>
      </c>
      <c r="BN54" s="162" t="s">
        <v>9</v>
      </c>
      <c r="BO54" s="162" t="s">
        <v>9</v>
      </c>
      <c r="BP54" s="162" t="s">
        <v>9</v>
      </c>
      <c r="BQ54" s="162" t="s">
        <v>9</v>
      </c>
      <c r="BR54" s="162" t="s">
        <v>9</v>
      </c>
      <c r="BS54" s="194"/>
    </row>
    <row r="55" spans="1:71" hidden="1">
      <c r="A55" s="145" t="s">
        <v>225</v>
      </c>
      <c r="B55" s="145" t="s">
        <v>49</v>
      </c>
      <c r="C55" s="145">
        <v>2</v>
      </c>
      <c r="D55" s="146" t="s">
        <v>607</v>
      </c>
      <c r="E55" s="147" t="str">
        <f>IF(COUNTIF(Measure_62443_3_3[[#This Row],[G 0.13 Interception of Compromising Interference Signals]:[OPS.1.1.3.8 Manipulation of data and tools during patch and change management]],"P")&gt;0,"X","")</f>
        <v/>
      </c>
      <c r="F55" s="147" t="str">
        <f>IF(OR(Measure_62443_3_3[[#This Row],[Requirement Selected (Prefulfilled)]]="X",Measure_62443_3_3[[#This Row],[Relevance revoked]]="Yes"),"X","")</f>
        <v/>
      </c>
      <c r="G55" s="147" t="str">
        <f>IF(COUNTIF(Measure_62443_3_3[[#This Row],[G 0.13 Interception of Compromising Interference Signals]:[OPS.1.1.3.8 Manipulation of data and tools during patch and change management]],"P")&gt;0,"X","")</f>
        <v/>
      </c>
      <c r="H55" s="147" t="str">
        <f>IF(OR(Measure_62443_3_3[[#This Row],[Requirement Selected (Prefulfilled + Mitigating)]]="X",Measure_62443_3_3[[#This Row],[Relevance revoked]]="Yes"),"X","")</f>
        <v/>
      </c>
      <c r="I55" s="148" t="str">
        <f>IF(VLOOKUP(Measure_62443_3_3[[#This Row],[FR]],'SL-T'!$A$5:$B$11,2,FALSE)&gt;=Measure_62443_3_3[[#This Row],[lowest SL-T]],"X","")</f>
        <v/>
      </c>
      <c r="J55" s="160" t="s">
        <v>90</v>
      </c>
      <c r="K55" s="161"/>
      <c r="L55" s="162" t="s">
        <v>9</v>
      </c>
      <c r="M55" s="162" t="s">
        <v>9</v>
      </c>
      <c r="N55" s="162" t="s">
        <v>9</v>
      </c>
      <c r="O55" s="162" t="s">
        <v>9</v>
      </c>
      <c r="P55" s="162" t="s">
        <v>9</v>
      </c>
      <c r="Q55" s="162" t="s">
        <v>9</v>
      </c>
      <c r="R55" s="162" t="s">
        <v>9</v>
      </c>
      <c r="S55" s="162" t="s">
        <v>9</v>
      </c>
      <c r="T55" s="162" t="s">
        <v>9</v>
      </c>
      <c r="U55" s="162" t="s">
        <v>9</v>
      </c>
      <c r="V55" s="162" t="s">
        <v>9</v>
      </c>
      <c r="W55" s="162" t="s">
        <v>9</v>
      </c>
      <c r="X55" s="162" t="s">
        <v>9</v>
      </c>
      <c r="Y55" s="162" t="s">
        <v>9</v>
      </c>
      <c r="Z55" s="162" t="s">
        <v>9</v>
      </c>
      <c r="AA55" s="162" t="s">
        <v>9</v>
      </c>
      <c r="AB55" s="162" t="s">
        <v>9</v>
      </c>
      <c r="AC55" s="162" t="s">
        <v>9</v>
      </c>
      <c r="AD55" s="162" t="s">
        <v>9</v>
      </c>
      <c r="AE55" s="162" t="s">
        <v>9</v>
      </c>
      <c r="AF55" s="162" t="s">
        <v>9</v>
      </c>
      <c r="AG55" s="162" t="s">
        <v>9</v>
      </c>
      <c r="AH55" s="162" t="s">
        <v>9</v>
      </c>
      <c r="AI55" s="162" t="s">
        <v>9</v>
      </c>
      <c r="AJ55" s="162" t="s">
        <v>9</v>
      </c>
      <c r="AK55" s="162" t="s">
        <v>9</v>
      </c>
      <c r="AL55" s="162" t="s">
        <v>9</v>
      </c>
      <c r="AM55" s="162" t="s">
        <v>9</v>
      </c>
      <c r="AN55" s="162" t="s">
        <v>9</v>
      </c>
      <c r="AO55" s="162" t="s">
        <v>9</v>
      </c>
      <c r="AP55" s="162" t="s">
        <v>9</v>
      </c>
      <c r="AQ55" s="162" t="s">
        <v>9</v>
      </c>
      <c r="AR55" s="162" t="s">
        <v>9</v>
      </c>
      <c r="AS55" s="162" t="s">
        <v>9</v>
      </c>
      <c r="AT55" s="162" t="s">
        <v>9</v>
      </c>
      <c r="AU55" s="162" t="s">
        <v>9</v>
      </c>
      <c r="AV55" s="162" t="s">
        <v>9</v>
      </c>
      <c r="AW55" s="162" t="s">
        <v>9</v>
      </c>
      <c r="AX55" s="162" t="s">
        <v>9</v>
      </c>
      <c r="AY55" s="162" t="s">
        <v>9</v>
      </c>
      <c r="AZ55" s="162" t="s">
        <v>9</v>
      </c>
      <c r="BA55" s="162" t="s">
        <v>9</v>
      </c>
      <c r="BB55" s="162" t="s">
        <v>9</v>
      </c>
      <c r="BC55" s="162" t="s">
        <v>9</v>
      </c>
      <c r="BD55" s="162" t="s">
        <v>9</v>
      </c>
      <c r="BE55" s="162" t="s">
        <v>9</v>
      </c>
      <c r="BF55" s="162" t="s">
        <v>9</v>
      </c>
      <c r="BG55" s="162" t="s">
        <v>9</v>
      </c>
      <c r="BH55" s="162" t="s">
        <v>9</v>
      </c>
      <c r="BI55" s="162" t="s">
        <v>9</v>
      </c>
      <c r="BJ55" s="162" t="s">
        <v>9</v>
      </c>
      <c r="BK55" s="162" t="s">
        <v>9</v>
      </c>
      <c r="BL55" s="162" t="s">
        <v>9</v>
      </c>
      <c r="BM55" s="162" t="s">
        <v>9</v>
      </c>
      <c r="BN55" s="162" t="s">
        <v>9</v>
      </c>
      <c r="BO55" s="162" t="s">
        <v>9</v>
      </c>
      <c r="BP55" s="162" t="s">
        <v>9</v>
      </c>
      <c r="BQ55" s="162" t="s">
        <v>9</v>
      </c>
      <c r="BR55" s="162" t="s">
        <v>9</v>
      </c>
      <c r="BS55" s="194"/>
    </row>
    <row r="56" spans="1:71" hidden="1">
      <c r="A56" s="145" t="s">
        <v>226</v>
      </c>
      <c r="B56" s="145" t="s">
        <v>49</v>
      </c>
      <c r="C56" s="145">
        <v>3</v>
      </c>
      <c r="D56" s="146" t="s">
        <v>607</v>
      </c>
      <c r="E56" s="147" t="str">
        <f>IF(COUNTIF(Measure_62443_3_3[[#This Row],[G 0.13 Interception of Compromising Interference Signals]:[OPS.1.1.3.8 Manipulation of data and tools during patch and change management]],"P")&gt;0,"X","")</f>
        <v/>
      </c>
      <c r="F56" s="147" t="str">
        <f>IF(OR(Measure_62443_3_3[[#This Row],[Requirement Selected (Prefulfilled)]]="X",Measure_62443_3_3[[#This Row],[Relevance revoked]]="Yes"),"X","")</f>
        <v/>
      </c>
      <c r="G56" s="147" t="str">
        <f>IF(COUNTIF(Measure_62443_3_3[[#This Row],[G 0.13 Interception of Compromising Interference Signals]:[OPS.1.1.3.8 Manipulation of data and tools during patch and change management]],"P")&gt;0,"X","")</f>
        <v/>
      </c>
      <c r="H56" s="147" t="str">
        <f>IF(OR(Measure_62443_3_3[[#This Row],[Requirement Selected (Prefulfilled + Mitigating)]]="X",Measure_62443_3_3[[#This Row],[Relevance revoked]]="Yes"),"X","")</f>
        <v/>
      </c>
      <c r="I56" s="148" t="str">
        <f>IF(VLOOKUP(Measure_62443_3_3[[#This Row],[FR]],'SL-T'!$A$5:$B$11,2,FALSE)&gt;=Measure_62443_3_3[[#This Row],[lowest SL-T]],"X","")</f>
        <v/>
      </c>
      <c r="J56" s="160" t="s">
        <v>90</v>
      </c>
      <c r="K56" s="161"/>
      <c r="L56" s="162" t="s">
        <v>9</v>
      </c>
      <c r="M56" s="162" t="s">
        <v>9</v>
      </c>
      <c r="N56" s="162" t="s">
        <v>9</v>
      </c>
      <c r="O56" s="162" t="s">
        <v>9</v>
      </c>
      <c r="P56" s="162" t="s">
        <v>9</v>
      </c>
      <c r="Q56" s="162" t="s">
        <v>9</v>
      </c>
      <c r="R56" s="162" t="s">
        <v>9</v>
      </c>
      <c r="S56" s="162" t="s">
        <v>9</v>
      </c>
      <c r="T56" s="162" t="s">
        <v>9</v>
      </c>
      <c r="U56" s="162" t="s">
        <v>9</v>
      </c>
      <c r="V56" s="162" t="s">
        <v>9</v>
      </c>
      <c r="W56" s="162" t="s">
        <v>9</v>
      </c>
      <c r="X56" s="162" t="s">
        <v>9</v>
      </c>
      <c r="Y56" s="162" t="s">
        <v>9</v>
      </c>
      <c r="Z56" s="162" t="s">
        <v>9</v>
      </c>
      <c r="AA56" s="162" t="s">
        <v>9</v>
      </c>
      <c r="AB56" s="162" t="s">
        <v>9</v>
      </c>
      <c r="AC56" s="162" t="s">
        <v>9</v>
      </c>
      <c r="AD56" s="162" t="s">
        <v>9</v>
      </c>
      <c r="AE56" s="162" t="s">
        <v>9</v>
      </c>
      <c r="AF56" s="162" t="s">
        <v>9</v>
      </c>
      <c r="AG56" s="162" t="s">
        <v>9</v>
      </c>
      <c r="AH56" s="162" t="s">
        <v>9</v>
      </c>
      <c r="AI56" s="162" t="s">
        <v>9</v>
      </c>
      <c r="AJ56" s="162" t="s">
        <v>9</v>
      </c>
      <c r="AK56" s="162" t="s">
        <v>9</v>
      </c>
      <c r="AL56" s="162" t="s">
        <v>9</v>
      </c>
      <c r="AM56" s="162" t="s">
        <v>9</v>
      </c>
      <c r="AN56" s="162" t="s">
        <v>9</v>
      </c>
      <c r="AO56" s="162" t="s">
        <v>9</v>
      </c>
      <c r="AP56" s="162" t="s">
        <v>9</v>
      </c>
      <c r="AQ56" s="162" t="s">
        <v>9</v>
      </c>
      <c r="AR56" s="162" t="s">
        <v>9</v>
      </c>
      <c r="AS56" s="162" t="s">
        <v>9</v>
      </c>
      <c r="AT56" s="162" t="s">
        <v>9</v>
      </c>
      <c r="AU56" s="162" t="s">
        <v>9</v>
      </c>
      <c r="AV56" s="162" t="s">
        <v>9</v>
      </c>
      <c r="AW56" s="162" t="s">
        <v>9</v>
      </c>
      <c r="AX56" s="162" t="s">
        <v>9</v>
      </c>
      <c r="AY56" s="162" t="s">
        <v>9</v>
      </c>
      <c r="AZ56" s="162" t="s">
        <v>9</v>
      </c>
      <c r="BA56" s="162" t="s">
        <v>9</v>
      </c>
      <c r="BB56" s="162" t="s">
        <v>9</v>
      </c>
      <c r="BC56" s="162" t="s">
        <v>9</v>
      </c>
      <c r="BD56" s="162" t="s">
        <v>9</v>
      </c>
      <c r="BE56" s="162" t="s">
        <v>9</v>
      </c>
      <c r="BF56" s="162" t="s">
        <v>9</v>
      </c>
      <c r="BG56" s="162" t="s">
        <v>9</v>
      </c>
      <c r="BH56" s="162" t="s">
        <v>9</v>
      </c>
      <c r="BI56" s="162" t="s">
        <v>9</v>
      </c>
      <c r="BJ56" s="162" t="s">
        <v>9</v>
      </c>
      <c r="BK56" s="162" t="s">
        <v>9</v>
      </c>
      <c r="BL56" s="162" t="s">
        <v>9</v>
      </c>
      <c r="BM56" s="162" t="s">
        <v>9</v>
      </c>
      <c r="BN56" s="162" t="s">
        <v>9</v>
      </c>
      <c r="BO56" s="162" t="s">
        <v>9</v>
      </c>
      <c r="BP56" s="162" t="s">
        <v>9</v>
      </c>
      <c r="BQ56" s="162" t="s">
        <v>9</v>
      </c>
      <c r="BR56" s="162" t="s">
        <v>9</v>
      </c>
      <c r="BS56" s="194"/>
    </row>
    <row r="57" spans="1:71" hidden="1">
      <c r="A57" s="145" t="s">
        <v>227</v>
      </c>
      <c r="B57" s="145" t="s">
        <v>49</v>
      </c>
      <c r="C57" s="145">
        <v>1</v>
      </c>
      <c r="D57" s="146" t="s">
        <v>607</v>
      </c>
      <c r="E57" s="147" t="str">
        <f>IF(COUNTIF(Measure_62443_3_3[[#This Row],[G 0.13 Interception of Compromising Interference Signals]:[OPS.1.1.3.8 Manipulation of data and tools during patch and change management]],"P")&gt;0,"X","")</f>
        <v/>
      </c>
      <c r="F57" s="147" t="str">
        <f>IF(OR(Measure_62443_3_3[[#This Row],[Requirement Selected (Prefulfilled)]]="X",Measure_62443_3_3[[#This Row],[Relevance revoked]]="Yes"),"X","")</f>
        <v/>
      </c>
      <c r="G57" s="147" t="str">
        <f>IF(COUNTIF(Measure_62443_3_3[[#This Row],[G 0.13 Interception of Compromising Interference Signals]:[OPS.1.1.3.8 Manipulation of data and tools during patch and change management]],"P")&gt;0,"X","")</f>
        <v/>
      </c>
      <c r="H57" s="147" t="str">
        <f>IF(OR(Measure_62443_3_3[[#This Row],[Requirement Selected (Prefulfilled + Mitigating)]]="X",Measure_62443_3_3[[#This Row],[Relevance revoked]]="Yes"),"X","")</f>
        <v/>
      </c>
      <c r="I57" s="148" t="str">
        <f>IF(VLOOKUP(Measure_62443_3_3[[#This Row],[FR]],'SL-T'!$A$5:$B$11,2,FALSE)&gt;=Measure_62443_3_3[[#This Row],[lowest SL-T]],"X","")</f>
        <v/>
      </c>
      <c r="J57" s="160" t="s">
        <v>90</v>
      </c>
      <c r="K57" s="161"/>
      <c r="L57" s="162" t="s">
        <v>9</v>
      </c>
      <c r="M57" s="162" t="s">
        <v>9</v>
      </c>
      <c r="N57" s="162" t="s">
        <v>9</v>
      </c>
      <c r="O57" s="162" t="s">
        <v>9</v>
      </c>
      <c r="P57" s="162" t="s">
        <v>9</v>
      </c>
      <c r="Q57" s="162" t="s">
        <v>9</v>
      </c>
      <c r="R57" s="162" t="s">
        <v>9</v>
      </c>
      <c r="S57" s="162" t="s">
        <v>9</v>
      </c>
      <c r="T57" s="162" t="s">
        <v>9</v>
      </c>
      <c r="U57" s="162" t="s">
        <v>9</v>
      </c>
      <c r="V57" s="162" t="s">
        <v>9</v>
      </c>
      <c r="W57" s="162" t="s">
        <v>9</v>
      </c>
      <c r="X57" s="162" t="s">
        <v>9</v>
      </c>
      <c r="Y57" s="162" t="s">
        <v>9</v>
      </c>
      <c r="Z57" s="162" t="s">
        <v>9</v>
      </c>
      <c r="AA57" s="162" t="s">
        <v>9</v>
      </c>
      <c r="AB57" s="162" t="s">
        <v>9</v>
      </c>
      <c r="AC57" s="162" t="s">
        <v>9</v>
      </c>
      <c r="AD57" s="162" t="s">
        <v>9</v>
      </c>
      <c r="AE57" s="162" t="s">
        <v>9</v>
      </c>
      <c r="AF57" s="162" t="s">
        <v>9</v>
      </c>
      <c r="AG57" s="162" t="s">
        <v>9</v>
      </c>
      <c r="AH57" s="162" t="s">
        <v>9</v>
      </c>
      <c r="AI57" s="162" t="s">
        <v>9</v>
      </c>
      <c r="AJ57" s="162" t="s">
        <v>9</v>
      </c>
      <c r="AK57" s="162" t="s">
        <v>9</v>
      </c>
      <c r="AL57" s="162" t="s">
        <v>9</v>
      </c>
      <c r="AM57" s="162" t="s">
        <v>9</v>
      </c>
      <c r="AN57" s="162" t="s">
        <v>9</v>
      </c>
      <c r="AO57" s="162" t="s">
        <v>9</v>
      </c>
      <c r="AP57" s="162" t="s">
        <v>9</v>
      </c>
      <c r="AQ57" s="162" t="s">
        <v>9</v>
      </c>
      <c r="AR57" s="162" t="s">
        <v>9</v>
      </c>
      <c r="AS57" s="162" t="s">
        <v>9</v>
      </c>
      <c r="AT57" s="162" t="s">
        <v>9</v>
      </c>
      <c r="AU57" s="162" t="s">
        <v>9</v>
      </c>
      <c r="AV57" s="162" t="s">
        <v>9</v>
      </c>
      <c r="AW57" s="162" t="s">
        <v>9</v>
      </c>
      <c r="AX57" s="162" t="s">
        <v>9</v>
      </c>
      <c r="AY57" s="162" t="s">
        <v>9</v>
      </c>
      <c r="AZ57" s="162" t="s">
        <v>9</v>
      </c>
      <c r="BA57" s="162" t="s">
        <v>9</v>
      </c>
      <c r="BB57" s="162" t="s">
        <v>9</v>
      </c>
      <c r="BC57" s="162" t="s">
        <v>9</v>
      </c>
      <c r="BD57" s="162" t="s">
        <v>9</v>
      </c>
      <c r="BE57" s="162" t="s">
        <v>9</v>
      </c>
      <c r="BF57" s="162" t="s">
        <v>9</v>
      </c>
      <c r="BG57" s="162" t="s">
        <v>9</v>
      </c>
      <c r="BH57" s="162" t="s">
        <v>9</v>
      </c>
      <c r="BI57" s="162" t="s">
        <v>9</v>
      </c>
      <c r="BJ57" s="162" t="s">
        <v>9</v>
      </c>
      <c r="BK57" s="162" t="s">
        <v>9</v>
      </c>
      <c r="BL57" s="162" t="s">
        <v>9</v>
      </c>
      <c r="BM57" s="162" t="s">
        <v>9</v>
      </c>
      <c r="BN57" s="162" t="s">
        <v>9</v>
      </c>
      <c r="BO57" s="162" t="s">
        <v>9</v>
      </c>
      <c r="BP57" s="162" t="s">
        <v>9</v>
      </c>
      <c r="BQ57" s="162" t="s">
        <v>9</v>
      </c>
      <c r="BR57" s="162" t="s">
        <v>9</v>
      </c>
      <c r="BS57" s="194"/>
    </row>
    <row r="58" spans="1:71" hidden="1">
      <c r="A58" s="145" t="s">
        <v>228</v>
      </c>
      <c r="B58" s="145" t="s">
        <v>49</v>
      </c>
      <c r="C58" s="145">
        <v>3</v>
      </c>
      <c r="D58" s="146" t="s">
        <v>607</v>
      </c>
      <c r="E58" s="147" t="str">
        <f>IF(COUNTIF(Measure_62443_3_3[[#This Row],[G 0.13 Interception of Compromising Interference Signals]:[OPS.1.1.3.8 Manipulation of data and tools during patch and change management]],"P")&gt;0,"X","")</f>
        <v/>
      </c>
      <c r="F58" s="147" t="str">
        <f>IF(OR(Measure_62443_3_3[[#This Row],[Requirement Selected (Prefulfilled)]]="X",Measure_62443_3_3[[#This Row],[Relevance revoked]]="Yes"),"X","")</f>
        <v/>
      </c>
      <c r="G58" s="147" t="str">
        <f>IF(COUNTIF(Measure_62443_3_3[[#This Row],[G 0.13 Interception of Compromising Interference Signals]:[OPS.1.1.3.8 Manipulation of data and tools during patch and change management]],"P")&gt;0,"X","")</f>
        <v/>
      </c>
      <c r="H58" s="147" t="str">
        <f>IF(OR(Measure_62443_3_3[[#This Row],[Requirement Selected (Prefulfilled + Mitigating)]]="X",Measure_62443_3_3[[#This Row],[Relevance revoked]]="Yes"),"X","")</f>
        <v/>
      </c>
      <c r="I58" s="148" t="str">
        <f>IF(VLOOKUP(Measure_62443_3_3[[#This Row],[FR]],'SL-T'!$A$5:$B$11,2,FALSE)&gt;=Measure_62443_3_3[[#This Row],[lowest SL-T]],"X","")</f>
        <v/>
      </c>
      <c r="J58" s="160" t="s">
        <v>90</v>
      </c>
      <c r="K58" s="161"/>
      <c r="L58" s="162" t="s">
        <v>9</v>
      </c>
      <c r="M58" s="162" t="s">
        <v>9</v>
      </c>
      <c r="N58" s="162" t="s">
        <v>9</v>
      </c>
      <c r="O58" s="162" t="s">
        <v>9</v>
      </c>
      <c r="P58" s="162" t="s">
        <v>9</v>
      </c>
      <c r="Q58" s="162" t="s">
        <v>9</v>
      </c>
      <c r="R58" s="162" t="s">
        <v>9</v>
      </c>
      <c r="S58" s="162" t="s">
        <v>9</v>
      </c>
      <c r="T58" s="162" t="s">
        <v>9</v>
      </c>
      <c r="U58" s="162" t="s">
        <v>9</v>
      </c>
      <c r="V58" s="162" t="s">
        <v>9</v>
      </c>
      <c r="W58" s="162" t="s">
        <v>9</v>
      </c>
      <c r="X58" s="162" t="s">
        <v>9</v>
      </c>
      <c r="Y58" s="162" t="s">
        <v>9</v>
      </c>
      <c r="Z58" s="162" t="s">
        <v>9</v>
      </c>
      <c r="AA58" s="162" t="s">
        <v>9</v>
      </c>
      <c r="AB58" s="162" t="s">
        <v>9</v>
      </c>
      <c r="AC58" s="162" t="s">
        <v>9</v>
      </c>
      <c r="AD58" s="162" t="s">
        <v>9</v>
      </c>
      <c r="AE58" s="162" t="s">
        <v>9</v>
      </c>
      <c r="AF58" s="162" t="s">
        <v>9</v>
      </c>
      <c r="AG58" s="162" t="s">
        <v>9</v>
      </c>
      <c r="AH58" s="162" t="s">
        <v>9</v>
      </c>
      <c r="AI58" s="162" t="s">
        <v>9</v>
      </c>
      <c r="AJ58" s="162" t="s">
        <v>9</v>
      </c>
      <c r="AK58" s="162" t="s">
        <v>9</v>
      </c>
      <c r="AL58" s="162" t="s">
        <v>9</v>
      </c>
      <c r="AM58" s="162" t="s">
        <v>9</v>
      </c>
      <c r="AN58" s="162" t="s">
        <v>9</v>
      </c>
      <c r="AO58" s="162" t="s">
        <v>9</v>
      </c>
      <c r="AP58" s="162" t="s">
        <v>9</v>
      </c>
      <c r="AQ58" s="162" t="s">
        <v>9</v>
      </c>
      <c r="AR58" s="162" t="s">
        <v>9</v>
      </c>
      <c r="AS58" s="162" t="s">
        <v>9</v>
      </c>
      <c r="AT58" s="162" t="s">
        <v>9</v>
      </c>
      <c r="AU58" s="162" t="s">
        <v>9</v>
      </c>
      <c r="AV58" s="162" t="s">
        <v>9</v>
      </c>
      <c r="AW58" s="162" t="s">
        <v>9</v>
      </c>
      <c r="AX58" s="162" t="s">
        <v>9</v>
      </c>
      <c r="AY58" s="162" t="s">
        <v>9</v>
      </c>
      <c r="AZ58" s="162" t="s">
        <v>9</v>
      </c>
      <c r="BA58" s="162" t="s">
        <v>9</v>
      </c>
      <c r="BB58" s="162" t="s">
        <v>9</v>
      </c>
      <c r="BC58" s="162" t="s">
        <v>9</v>
      </c>
      <c r="BD58" s="162" t="s">
        <v>9</v>
      </c>
      <c r="BE58" s="162" t="s">
        <v>9</v>
      </c>
      <c r="BF58" s="162" t="s">
        <v>9</v>
      </c>
      <c r="BG58" s="162" t="s">
        <v>9</v>
      </c>
      <c r="BH58" s="162" t="s">
        <v>9</v>
      </c>
      <c r="BI58" s="162" t="s">
        <v>9</v>
      </c>
      <c r="BJ58" s="162" t="s">
        <v>9</v>
      </c>
      <c r="BK58" s="162" t="s">
        <v>9</v>
      </c>
      <c r="BL58" s="162" t="s">
        <v>9</v>
      </c>
      <c r="BM58" s="162" t="s">
        <v>9</v>
      </c>
      <c r="BN58" s="162" t="s">
        <v>9</v>
      </c>
      <c r="BO58" s="162" t="s">
        <v>9</v>
      </c>
      <c r="BP58" s="162" t="s">
        <v>9</v>
      </c>
      <c r="BQ58" s="162" t="s">
        <v>9</v>
      </c>
      <c r="BR58" s="162" t="s">
        <v>9</v>
      </c>
      <c r="BS58" s="194"/>
    </row>
    <row r="59" spans="1:71" hidden="1">
      <c r="A59" s="145" t="s">
        <v>229</v>
      </c>
      <c r="B59" s="145" t="s">
        <v>49</v>
      </c>
      <c r="C59" s="145">
        <v>4</v>
      </c>
      <c r="D59" s="146" t="s">
        <v>607</v>
      </c>
      <c r="E59" s="147" t="str">
        <f>IF(COUNTIF(Measure_62443_3_3[[#This Row],[G 0.13 Interception of Compromising Interference Signals]:[OPS.1.1.3.8 Manipulation of data and tools during patch and change management]],"P")&gt;0,"X","")</f>
        <v/>
      </c>
      <c r="F59" s="147" t="str">
        <f>IF(OR(Measure_62443_3_3[[#This Row],[Requirement Selected (Prefulfilled)]]="X",Measure_62443_3_3[[#This Row],[Relevance revoked]]="Yes"),"X","")</f>
        <v/>
      </c>
      <c r="G59" s="147" t="str">
        <f>IF(COUNTIF(Measure_62443_3_3[[#This Row],[G 0.13 Interception of Compromising Interference Signals]:[OPS.1.1.3.8 Manipulation of data and tools during patch and change management]],"P")&gt;0,"X","")</f>
        <v/>
      </c>
      <c r="H59" s="147" t="str">
        <f>IF(OR(Measure_62443_3_3[[#This Row],[Requirement Selected (Prefulfilled + Mitigating)]]="X",Measure_62443_3_3[[#This Row],[Relevance revoked]]="Yes"),"X","")</f>
        <v/>
      </c>
      <c r="I59" s="148" t="str">
        <f>IF(VLOOKUP(Measure_62443_3_3[[#This Row],[FR]],'SL-T'!$A$5:$B$11,2,FALSE)&gt;=Measure_62443_3_3[[#This Row],[lowest SL-T]],"X","")</f>
        <v/>
      </c>
      <c r="J59" s="160" t="s">
        <v>90</v>
      </c>
      <c r="K59" s="161"/>
      <c r="L59" s="162" t="s">
        <v>9</v>
      </c>
      <c r="M59" s="162" t="s">
        <v>9</v>
      </c>
      <c r="N59" s="162" t="s">
        <v>9</v>
      </c>
      <c r="O59" s="162" t="s">
        <v>9</v>
      </c>
      <c r="P59" s="162" t="s">
        <v>9</v>
      </c>
      <c r="Q59" s="162" t="s">
        <v>9</v>
      </c>
      <c r="R59" s="162" t="s">
        <v>9</v>
      </c>
      <c r="S59" s="162" t="s">
        <v>9</v>
      </c>
      <c r="T59" s="162" t="s">
        <v>9</v>
      </c>
      <c r="U59" s="162" t="s">
        <v>9</v>
      </c>
      <c r="V59" s="162" t="s">
        <v>9</v>
      </c>
      <c r="W59" s="162" t="s">
        <v>9</v>
      </c>
      <c r="X59" s="162" t="s">
        <v>9</v>
      </c>
      <c r="Y59" s="162" t="s">
        <v>9</v>
      </c>
      <c r="Z59" s="162" t="s">
        <v>9</v>
      </c>
      <c r="AA59" s="162" t="s">
        <v>9</v>
      </c>
      <c r="AB59" s="162" t="s">
        <v>9</v>
      </c>
      <c r="AC59" s="162" t="s">
        <v>9</v>
      </c>
      <c r="AD59" s="162" t="s">
        <v>9</v>
      </c>
      <c r="AE59" s="162" t="s">
        <v>9</v>
      </c>
      <c r="AF59" s="162" t="s">
        <v>9</v>
      </c>
      <c r="AG59" s="162" t="s">
        <v>9</v>
      </c>
      <c r="AH59" s="162" t="s">
        <v>9</v>
      </c>
      <c r="AI59" s="162" t="s">
        <v>9</v>
      </c>
      <c r="AJ59" s="162" t="s">
        <v>9</v>
      </c>
      <c r="AK59" s="162" t="s">
        <v>9</v>
      </c>
      <c r="AL59" s="162" t="s">
        <v>9</v>
      </c>
      <c r="AM59" s="162" t="s">
        <v>9</v>
      </c>
      <c r="AN59" s="162" t="s">
        <v>9</v>
      </c>
      <c r="AO59" s="162" t="s">
        <v>9</v>
      </c>
      <c r="AP59" s="162" t="s">
        <v>9</v>
      </c>
      <c r="AQ59" s="162" t="s">
        <v>9</v>
      </c>
      <c r="AR59" s="162" t="s">
        <v>9</v>
      </c>
      <c r="AS59" s="162" t="s">
        <v>9</v>
      </c>
      <c r="AT59" s="162" t="s">
        <v>9</v>
      </c>
      <c r="AU59" s="162" t="s">
        <v>9</v>
      </c>
      <c r="AV59" s="162" t="s">
        <v>9</v>
      </c>
      <c r="AW59" s="162" t="s">
        <v>9</v>
      </c>
      <c r="AX59" s="162" t="s">
        <v>9</v>
      </c>
      <c r="AY59" s="162" t="s">
        <v>9</v>
      </c>
      <c r="AZ59" s="162" t="s">
        <v>9</v>
      </c>
      <c r="BA59" s="162" t="s">
        <v>9</v>
      </c>
      <c r="BB59" s="162" t="s">
        <v>9</v>
      </c>
      <c r="BC59" s="162" t="s">
        <v>9</v>
      </c>
      <c r="BD59" s="162" t="s">
        <v>9</v>
      </c>
      <c r="BE59" s="162" t="s">
        <v>9</v>
      </c>
      <c r="BF59" s="162" t="s">
        <v>9</v>
      </c>
      <c r="BG59" s="162" t="s">
        <v>9</v>
      </c>
      <c r="BH59" s="162" t="s">
        <v>9</v>
      </c>
      <c r="BI59" s="162" t="s">
        <v>9</v>
      </c>
      <c r="BJ59" s="162" t="s">
        <v>9</v>
      </c>
      <c r="BK59" s="162" t="s">
        <v>9</v>
      </c>
      <c r="BL59" s="162" t="s">
        <v>9</v>
      </c>
      <c r="BM59" s="162" t="s">
        <v>9</v>
      </c>
      <c r="BN59" s="162" t="s">
        <v>9</v>
      </c>
      <c r="BO59" s="162" t="s">
        <v>9</v>
      </c>
      <c r="BP59" s="162" t="s">
        <v>9</v>
      </c>
      <c r="BQ59" s="162" t="s">
        <v>9</v>
      </c>
      <c r="BR59" s="162" t="s">
        <v>9</v>
      </c>
      <c r="BS59" s="194"/>
    </row>
    <row r="60" spans="1:71" hidden="1">
      <c r="A60" s="145" t="s">
        <v>230</v>
      </c>
      <c r="B60" s="145" t="s">
        <v>49</v>
      </c>
      <c r="C60" s="145">
        <v>2</v>
      </c>
      <c r="D60" s="146" t="s">
        <v>607</v>
      </c>
      <c r="E60" s="147" t="str">
        <f>IF(COUNTIF(Measure_62443_3_3[[#This Row],[G 0.13 Interception of Compromising Interference Signals]:[OPS.1.1.3.8 Manipulation of data and tools during patch and change management]],"P")&gt;0,"X","")</f>
        <v/>
      </c>
      <c r="F60" s="147" t="str">
        <f>IF(OR(Measure_62443_3_3[[#This Row],[Requirement Selected (Prefulfilled)]]="X",Measure_62443_3_3[[#This Row],[Relevance revoked]]="Yes"),"X","")</f>
        <v/>
      </c>
      <c r="G60" s="147" t="str">
        <f>IF(COUNTIF(Measure_62443_3_3[[#This Row],[G 0.13 Interception of Compromising Interference Signals]:[OPS.1.1.3.8 Manipulation of data and tools during patch and change management]],"P")&gt;0,"X","")</f>
        <v/>
      </c>
      <c r="H60" s="147" t="str">
        <f>IF(OR(Measure_62443_3_3[[#This Row],[Requirement Selected (Prefulfilled + Mitigating)]]="X",Measure_62443_3_3[[#This Row],[Relevance revoked]]="Yes"),"X","")</f>
        <v/>
      </c>
      <c r="I60" s="148" t="str">
        <f>IF(VLOOKUP(Measure_62443_3_3[[#This Row],[FR]],'SL-T'!$A$5:$B$11,2,FALSE)&gt;=Measure_62443_3_3[[#This Row],[lowest SL-T]],"X","")</f>
        <v/>
      </c>
      <c r="J60" s="160" t="s">
        <v>90</v>
      </c>
      <c r="K60" s="161"/>
      <c r="L60" s="162" t="s">
        <v>9</v>
      </c>
      <c r="M60" s="162" t="s">
        <v>9</v>
      </c>
      <c r="N60" s="162" t="s">
        <v>9</v>
      </c>
      <c r="O60" s="162" t="s">
        <v>9</v>
      </c>
      <c r="P60" s="162" t="s">
        <v>9</v>
      </c>
      <c r="Q60" s="162" t="s">
        <v>9</v>
      </c>
      <c r="R60" s="162" t="s">
        <v>9</v>
      </c>
      <c r="S60" s="162" t="s">
        <v>9</v>
      </c>
      <c r="T60" s="162" t="s">
        <v>9</v>
      </c>
      <c r="U60" s="162" t="s">
        <v>9</v>
      </c>
      <c r="V60" s="162" t="s">
        <v>9</v>
      </c>
      <c r="W60" s="162" t="s">
        <v>9</v>
      </c>
      <c r="X60" s="162" t="s">
        <v>9</v>
      </c>
      <c r="Y60" s="162" t="s">
        <v>9</v>
      </c>
      <c r="Z60" s="162" t="s">
        <v>9</v>
      </c>
      <c r="AA60" s="162" t="s">
        <v>9</v>
      </c>
      <c r="AB60" s="162" t="s">
        <v>9</v>
      </c>
      <c r="AC60" s="162" t="s">
        <v>9</v>
      </c>
      <c r="AD60" s="162" t="s">
        <v>9</v>
      </c>
      <c r="AE60" s="162" t="s">
        <v>9</v>
      </c>
      <c r="AF60" s="162" t="s">
        <v>9</v>
      </c>
      <c r="AG60" s="162" t="s">
        <v>9</v>
      </c>
      <c r="AH60" s="162" t="s">
        <v>9</v>
      </c>
      <c r="AI60" s="162" t="s">
        <v>9</v>
      </c>
      <c r="AJ60" s="162" t="s">
        <v>9</v>
      </c>
      <c r="AK60" s="162" t="s">
        <v>9</v>
      </c>
      <c r="AL60" s="162" t="s">
        <v>9</v>
      </c>
      <c r="AM60" s="162" t="s">
        <v>9</v>
      </c>
      <c r="AN60" s="162" t="s">
        <v>9</v>
      </c>
      <c r="AO60" s="162" t="s">
        <v>9</v>
      </c>
      <c r="AP60" s="162" t="s">
        <v>9</v>
      </c>
      <c r="AQ60" s="162" t="s">
        <v>9</v>
      </c>
      <c r="AR60" s="162" t="s">
        <v>9</v>
      </c>
      <c r="AS60" s="162" t="s">
        <v>9</v>
      </c>
      <c r="AT60" s="162" t="s">
        <v>9</v>
      </c>
      <c r="AU60" s="162" t="s">
        <v>9</v>
      </c>
      <c r="AV60" s="162" t="s">
        <v>9</v>
      </c>
      <c r="AW60" s="162" t="s">
        <v>9</v>
      </c>
      <c r="AX60" s="162" t="s">
        <v>9</v>
      </c>
      <c r="AY60" s="162" t="s">
        <v>9</v>
      </c>
      <c r="AZ60" s="162" t="s">
        <v>9</v>
      </c>
      <c r="BA60" s="162" t="s">
        <v>9</v>
      </c>
      <c r="BB60" s="162" t="s">
        <v>9</v>
      </c>
      <c r="BC60" s="162" t="s">
        <v>9</v>
      </c>
      <c r="BD60" s="162" t="s">
        <v>9</v>
      </c>
      <c r="BE60" s="162" t="s">
        <v>9</v>
      </c>
      <c r="BF60" s="162" t="s">
        <v>9</v>
      </c>
      <c r="BG60" s="162" t="s">
        <v>9</v>
      </c>
      <c r="BH60" s="162" t="s">
        <v>9</v>
      </c>
      <c r="BI60" s="162" t="s">
        <v>9</v>
      </c>
      <c r="BJ60" s="162" t="s">
        <v>9</v>
      </c>
      <c r="BK60" s="162" t="s">
        <v>9</v>
      </c>
      <c r="BL60" s="162" t="s">
        <v>9</v>
      </c>
      <c r="BM60" s="162" t="s">
        <v>9</v>
      </c>
      <c r="BN60" s="162" t="s">
        <v>9</v>
      </c>
      <c r="BO60" s="162" t="s">
        <v>9</v>
      </c>
      <c r="BP60" s="162" t="s">
        <v>9</v>
      </c>
      <c r="BQ60" s="162" t="s">
        <v>9</v>
      </c>
      <c r="BR60" s="162" t="s">
        <v>9</v>
      </c>
      <c r="BS60" s="194"/>
    </row>
    <row r="61" spans="1:71" hidden="1">
      <c r="A61" s="145" t="s">
        <v>231</v>
      </c>
      <c r="B61" s="145" t="s">
        <v>49</v>
      </c>
      <c r="C61" s="145">
        <v>3</v>
      </c>
      <c r="D61" s="146" t="s">
        <v>607</v>
      </c>
      <c r="E61" s="147" t="str">
        <f>IF(COUNTIF(Measure_62443_3_3[[#This Row],[G 0.13 Interception of Compromising Interference Signals]:[OPS.1.1.3.8 Manipulation of data and tools during patch and change management]],"P")&gt;0,"X","")</f>
        <v/>
      </c>
      <c r="F61" s="147" t="str">
        <f>IF(OR(Measure_62443_3_3[[#This Row],[Requirement Selected (Prefulfilled)]]="X",Measure_62443_3_3[[#This Row],[Relevance revoked]]="Yes"),"X","")</f>
        <v/>
      </c>
      <c r="G61" s="147" t="str">
        <f>IF(COUNTIF(Measure_62443_3_3[[#This Row],[G 0.13 Interception of Compromising Interference Signals]:[OPS.1.1.3.8 Manipulation of data and tools during patch and change management]],"P")&gt;0,"X","")</f>
        <v/>
      </c>
      <c r="H61" s="147" t="str">
        <f>IF(OR(Measure_62443_3_3[[#This Row],[Requirement Selected (Prefulfilled + Mitigating)]]="X",Measure_62443_3_3[[#This Row],[Relevance revoked]]="Yes"),"X","")</f>
        <v/>
      </c>
      <c r="I61" s="148" t="str">
        <f>IF(VLOOKUP(Measure_62443_3_3[[#This Row],[FR]],'SL-T'!$A$5:$B$11,2,FALSE)&gt;=Measure_62443_3_3[[#This Row],[lowest SL-T]],"X","")</f>
        <v/>
      </c>
      <c r="J61" s="160" t="s">
        <v>90</v>
      </c>
      <c r="K61" s="161"/>
      <c r="L61" s="162" t="s">
        <v>9</v>
      </c>
      <c r="M61" s="162" t="s">
        <v>9</v>
      </c>
      <c r="N61" s="162" t="s">
        <v>9</v>
      </c>
      <c r="O61" s="162" t="s">
        <v>9</v>
      </c>
      <c r="P61" s="162" t="s">
        <v>9</v>
      </c>
      <c r="Q61" s="162" t="s">
        <v>9</v>
      </c>
      <c r="R61" s="162" t="s">
        <v>9</v>
      </c>
      <c r="S61" s="162" t="s">
        <v>9</v>
      </c>
      <c r="T61" s="162" t="s">
        <v>9</v>
      </c>
      <c r="U61" s="162" t="s">
        <v>9</v>
      </c>
      <c r="V61" s="162" t="s">
        <v>9</v>
      </c>
      <c r="W61" s="162" t="s">
        <v>9</v>
      </c>
      <c r="X61" s="162" t="s">
        <v>9</v>
      </c>
      <c r="Y61" s="162" t="s">
        <v>9</v>
      </c>
      <c r="Z61" s="162" t="s">
        <v>9</v>
      </c>
      <c r="AA61" s="162" t="s">
        <v>9</v>
      </c>
      <c r="AB61" s="162" t="s">
        <v>9</v>
      </c>
      <c r="AC61" s="162" t="s">
        <v>9</v>
      </c>
      <c r="AD61" s="162" t="s">
        <v>9</v>
      </c>
      <c r="AE61" s="162" t="s">
        <v>9</v>
      </c>
      <c r="AF61" s="162" t="s">
        <v>9</v>
      </c>
      <c r="AG61" s="162" t="s">
        <v>9</v>
      </c>
      <c r="AH61" s="162" t="s">
        <v>9</v>
      </c>
      <c r="AI61" s="162" t="s">
        <v>9</v>
      </c>
      <c r="AJ61" s="162" t="s">
        <v>9</v>
      </c>
      <c r="AK61" s="162" t="s">
        <v>9</v>
      </c>
      <c r="AL61" s="162" t="s">
        <v>9</v>
      </c>
      <c r="AM61" s="162" t="s">
        <v>9</v>
      </c>
      <c r="AN61" s="162" t="s">
        <v>9</v>
      </c>
      <c r="AO61" s="162" t="s">
        <v>9</v>
      </c>
      <c r="AP61" s="162" t="s">
        <v>9</v>
      </c>
      <c r="AQ61" s="162" t="s">
        <v>9</v>
      </c>
      <c r="AR61" s="162" t="s">
        <v>9</v>
      </c>
      <c r="AS61" s="162" t="s">
        <v>9</v>
      </c>
      <c r="AT61" s="162" t="s">
        <v>9</v>
      </c>
      <c r="AU61" s="162" t="s">
        <v>9</v>
      </c>
      <c r="AV61" s="162" t="s">
        <v>9</v>
      </c>
      <c r="AW61" s="162" t="s">
        <v>9</v>
      </c>
      <c r="AX61" s="162" t="s">
        <v>9</v>
      </c>
      <c r="AY61" s="162" t="s">
        <v>9</v>
      </c>
      <c r="AZ61" s="162" t="s">
        <v>9</v>
      </c>
      <c r="BA61" s="162" t="s">
        <v>9</v>
      </c>
      <c r="BB61" s="162" t="s">
        <v>9</v>
      </c>
      <c r="BC61" s="162" t="s">
        <v>9</v>
      </c>
      <c r="BD61" s="162" t="s">
        <v>9</v>
      </c>
      <c r="BE61" s="162" t="s">
        <v>9</v>
      </c>
      <c r="BF61" s="162" t="s">
        <v>9</v>
      </c>
      <c r="BG61" s="162" t="s">
        <v>9</v>
      </c>
      <c r="BH61" s="162" t="s">
        <v>9</v>
      </c>
      <c r="BI61" s="162" t="s">
        <v>9</v>
      </c>
      <c r="BJ61" s="162" t="s">
        <v>9</v>
      </c>
      <c r="BK61" s="162" t="s">
        <v>9</v>
      </c>
      <c r="BL61" s="162" t="s">
        <v>9</v>
      </c>
      <c r="BM61" s="162" t="s">
        <v>9</v>
      </c>
      <c r="BN61" s="162" t="s">
        <v>9</v>
      </c>
      <c r="BO61" s="162" t="s">
        <v>9</v>
      </c>
      <c r="BP61" s="162" t="s">
        <v>9</v>
      </c>
      <c r="BQ61" s="162" t="s">
        <v>9</v>
      </c>
      <c r="BR61" s="162" t="s">
        <v>9</v>
      </c>
      <c r="BS61" s="194"/>
    </row>
    <row r="62" spans="1:71" hidden="1">
      <c r="A62" s="145" t="s">
        <v>232</v>
      </c>
      <c r="B62" s="145" t="s">
        <v>49</v>
      </c>
      <c r="C62" s="145">
        <v>1</v>
      </c>
      <c r="D62" s="146" t="s">
        <v>607</v>
      </c>
      <c r="E62" s="147" t="str">
        <f>IF(COUNTIF(Measure_62443_3_3[[#This Row],[G 0.13 Interception of Compromising Interference Signals]:[OPS.1.1.3.8 Manipulation of data and tools during patch and change management]],"P")&gt;0,"X","")</f>
        <v/>
      </c>
      <c r="F62" s="147" t="str">
        <f>IF(OR(Measure_62443_3_3[[#This Row],[Requirement Selected (Prefulfilled)]]="X",Measure_62443_3_3[[#This Row],[Relevance revoked]]="Yes"),"X","")</f>
        <v/>
      </c>
      <c r="G62" s="147" t="str">
        <f>IF(COUNTIF(Measure_62443_3_3[[#This Row],[G 0.13 Interception of Compromising Interference Signals]:[OPS.1.1.3.8 Manipulation of data and tools during patch and change management]],"P")&gt;0,"X","")</f>
        <v/>
      </c>
      <c r="H62" s="147" t="str">
        <f>IF(OR(Measure_62443_3_3[[#This Row],[Requirement Selected (Prefulfilled + Mitigating)]]="X",Measure_62443_3_3[[#This Row],[Relevance revoked]]="Yes"),"X","")</f>
        <v/>
      </c>
      <c r="I62" s="148" t="str">
        <f>IF(VLOOKUP(Measure_62443_3_3[[#This Row],[FR]],'SL-T'!$A$5:$B$11,2,FALSE)&gt;=Measure_62443_3_3[[#This Row],[lowest SL-T]],"X","")</f>
        <v/>
      </c>
      <c r="J62" s="160" t="s">
        <v>90</v>
      </c>
      <c r="K62" s="161"/>
      <c r="L62" s="162" t="s">
        <v>9</v>
      </c>
      <c r="M62" s="162" t="s">
        <v>9</v>
      </c>
      <c r="N62" s="162" t="s">
        <v>9</v>
      </c>
      <c r="O62" s="162" t="s">
        <v>9</v>
      </c>
      <c r="P62" s="162" t="s">
        <v>9</v>
      </c>
      <c r="Q62" s="162" t="s">
        <v>9</v>
      </c>
      <c r="R62" s="162" t="s">
        <v>9</v>
      </c>
      <c r="S62" s="162" t="s">
        <v>9</v>
      </c>
      <c r="T62" s="162" t="s">
        <v>9</v>
      </c>
      <c r="U62" s="162" t="s">
        <v>9</v>
      </c>
      <c r="V62" s="162" t="s">
        <v>9</v>
      </c>
      <c r="W62" s="162" t="s">
        <v>9</v>
      </c>
      <c r="X62" s="162" t="s">
        <v>9</v>
      </c>
      <c r="Y62" s="162" t="s">
        <v>9</v>
      </c>
      <c r="Z62" s="162" t="s">
        <v>9</v>
      </c>
      <c r="AA62" s="162" t="s">
        <v>9</v>
      </c>
      <c r="AB62" s="162" t="s">
        <v>9</v>
      </c>
      <c r="AC62" s="162" t="s">
        <v>9</v>
      </c>
      <c r="AD62" s="162" t="s">
        <v>9</v>
      </c>
      <c r="AE62" s="162" t="s">
        <v>9</v>
      </c>
      <c r="AF62" s="162" t="s">
        <v>9</v>
      </c>
      <c r="AG62" s="162" t="s">
        <v>9</v>
      </c>
      <c r="AH62" s="162" t="s">
        <v>9</v>
      </c>
      <c r="AI62" s="162" t="s">
        <v>9</v>
      </c>
      <c r="AJ62" s="162" t="s">
        <v>9</v>
      </c>
      <c r="AK62" s="162" t="s">
        <v>9</v>
      </c>
      <c r="AL62" s="162" t="s">
        <v>9</v>
      </c>
      <c r="AM62" s="162" t="s">
        <v>9</v>
      </c>
      <c r="AN62" s="162" t="s">
        <v>9</v>
      </c>
      <c r="AO62" s="162" t="s">
        <v>9</v>
      </c>
      <c r="AP62" s="162" t="s">
        <v>9</v>
      </c>
      <c r="AQ62" s="162" t="s">
        <v>9</v>
      </c>
      <c r="AR62" s="162" t="s">
        <v>9</v>
      </c>
      <c r="AS62" s="162" t="s">
        <v>9</v>
      </c>
      <c r="AT62" s="162" t="s">
        <v>9</v>
      </c>
      <c r="AU62" s="162" t="s">
        <v>9</v>
      </c>
      <c r="AV62" s="162" t="s">
        <v>9</v>
      </c>
      <c r="AW62" s="162" t="s">
        <v>9</v>
      </c>
      <c r="AX62" s="162" t="s">
        <v>9</v>
      </c>
      <c r="AY62" s="162" t="s">
        <v>9</v>
      </c>
      <c r="AZ62" s="162" t="s">
        <v>9</v>
      </c>
      <c r="BA62" s="162" t="s">
        <v>9</v>
      </c>
      <c r="BB62" s="162" t="s">
        <v>9</v>
      </c>
      <c r="BC62" s="162" t="s">
        <v>9</v>
      </c>
      <c r="BD62" s="162" t="s">
        <v>9</v>
      </c>
      <c r="BE62" s="162" t="s">
        <v>9</v>
      </c>
      <c r="BF62" s="162" t="s">
        <v>9</v>
      </c>
      <c r="BG62" s="162" t="s">
        <v>9</v>
      </c>
      <c r="BH62" s="162" t="s">
        <v>9</v>
      </c>
      <c r="BI62" s="162" t="s">
        <v>9</v>
      </c>
      <c r="BJ62" s="162" t="s">
        <v>9</v>
      </c>
      <c r="BK62" s="162" t="s">
        <v>9</v>
      </c>
      <c r="BL62" s="162" t="s">
        <v>9</v>
      </c>
      <c r="BM62" s="162" t="s">
        <v>9</v>
      </c>
      <c r="BN62" s="162" t="s">
        <v>9</v>
      </c>
      <c r="BO62" s="162" t="s">
        <v>9</v>
      </c>
      <c r="BP62" s="162" t="s">
        <v>9</v>
      </c>
      <c r="BQ62" s="162" t="s">
        <v>9</v>
      </c>
      <c r="BR62" s="162" t="s">
        <v>9</v>
      </c>
      <c r="BS62" s="194"/>
    </row>
    <row r="63" spans="1:71" hidden="1">
      <c r="A63" s="145" t="s">
        <v>233</v>
      </c>
      <c r="B63" s="145" t="s">
        <v>49</v>
      </c>
      <c r="C63" s="145">
        <v>1</v>
      </c>
      <c r="D63" s="146" t="s">
        <v>607</v>
      </c>
      <c r="E63" s="147" t="str">
        <f>IF(COUNTIF(Measure_62443_3_3[[#This Row],[G 0.13 Interception of Compromising Interference Signals]:[OPS.1.1.3.8 Manipulation of data and tools during patch and change management]],"P")&gt;0,"X","")</f>
        <v/>
      </c>
      <c r="F63" s="147" t="str">
        <f>IF(OR(Measure_62443_3_3[[#This Row],[Requirement Selected (Prefulfilled)]]="X",Measure_62443_3_3[[#This Row],[Relevance revoked]]="Yes"),"X","")</f>
        <v/>
      </c>
      <c r="G63" s="147" t="str">
        <f>IF(COUNTIF(Measure_62443_3_3[[#This Row],[G 0.13 Interception of Compromising Interference Signals]:[OPS.1.1.3.8 Manipulation of data and tools during patch and change management]],"P")&gt;0,"X","")</f>
        <v/>
      </c>
      <c r="H63" s="147" t="str">
        <f>IF(OR(Measure_62443_3_3[[#This Row],[Requirement Selected (Prefulfilled + Mitigating)]]="X",Measure_62443_3_3[[#This Row],[Relevance revoked]]="Yes"),"X","")</f>
        <v/>
      </c>
      <c r="I63" s="148" t="str">
        <f>IF(VLOOKUP(Measure_62443_3_3[[#This Row],[FR]],'SL-T'!$A$5:$B$11,2,FALSE)&gt;=Measure_62443_3_3[[#This Row],[lowest SL-T]],"X","")</f>
        <v/>
      </c>
      <c r="J63" s="160" t="s">
        <v>90</v>
      </c>
      <c r="K63" s="161"/>
      <c r="L63" s="162" t="s">
        <v>9</v>
      </c>
      <c r="M63" s="162" t="s">
        <v>9</v>
      </c>
      <c r="N63" s="162" t="s">
        <v>9</v>
      </c>
      <c r="O63" s="162" t="s">
        <v>9</v>
      </c>
      <c r="P63" s="162" t="s">
        <v>9</v>
      </c>
      <c r="Q63" s="162" t="s">
        <v>9</v>
      </c>
      <c r="R63" s="162" t="s">
        <v>9</v>
      </c>
      <c r="S63" s="162" t="s">
        <v>9</v>
      </c>
      <c r="T63" s="162" t="s">
        <v>9</v>
      </c>
      <c r="U63" s="162" t="s">
        <v>9</v>
      </c>
      <c r="V63" s="162" t="s">
        <v>9</v>
      </c>
      <c r="W63" s="162" t="s">
        <v>9</v>
      </c>
      <c r="X63" s="162" t="s">
        <v>9</v>
      </c>
      <c r="Y63" s="162" t="s">
        <v>9</v>
      </c>
      <c r="Z63" s="162" t="s">
        <v>9</v>
      </c>
      <c r="AA63" s="162" t="s">
        <v>9</v>
      </c>
      <c r="AB63" s="162" t="s">
        <v>9</v>
      </c>
      <c r="AC63" s="162" t="s">
        <v>9</v>
      </c>
      <c r="AD63" s="162" t="s">
        <v>9</v>
      </c>
      <c r="AE63" s="162" t="s">
        <v>9</v>
      </c>
      <c r="AF63" s="162" t="s">
        <v>9</v>
      </c>
      <c r="AG63" s="162" t="s">
        <v>9</v>
      </c>
      <c r="AH63" s="162" t="s">
        <v>9</v>
      </c>
      <c r="AI63" s="162" t="s">
        <v>9</v>
      </c>
      <c r="AJ63" s="162" t="s">
        <v>9</v>
      </c>
      <c r="AK63" s="162" t="s">
        <v>9</v>
      </c>
      <c r="AL63" s="162" t="s">
        <v>9</v>
      </c>
      <c r="AM63" s="162" t="s">
        <v>9</v>
      </c>
      <c r="AN63" s="162" t="s">
        <v>9</v>
      </c>
      <c r="AO63" s="162" t="s">
        <v>9</v>
      </c>
      <c r="AP63" s="162" t="s">
        <v>9</v>
      </c>
      <c r="AQ63" s="162" t="s">
        <v>9</v>
      </c>
      <c r="AR63" s="162" t="s">
        <v>9</v>
      </c>
      <c r="AS63" s="162" t="s">
        <v>9</v>
      </c>
      <c r="AT63" s="162" t="s">
        <v>9</v>
      </c>
      <c r="AU63" s="162" t="s">
        <v>9</v>
      </c>
      <c r="AV63" s="162" t="s">
        <v>9</v>
      </c>
      <c r="AW63" s="162" t="s">
        <v>9</v>
      </c>
      <c r="AX63" s="162" t="s">
        <v>9</v>
      </c>
      <c r="AY63" s="162" t="s">
        <v>9</v>
      </c>
      <c r="AZ63" s="162" t="s">
        <v>9</v>
      </c>
      <c r="BA63" s="162" t="s">
        <v>9</v>
      </c>
      <c r="BB63" s="162" t="s">
        <v>9</v>
      </c>
      <c r="BC63" s="162" t="s">
        <v>9</v>
      </c>
      <c r="BD63" s="162" t="s">
        <v>9</v>
      </c>
      <c r="BE63" s="162" t="s">
        <v>9</v>
      </c>
      <c r="BF63" s="162" t="s">
        <v>9</v>
      </c>
      <c r="BG63" s="162" t="s">
        <v>9</v>
      </c>
      <c r="BH63" s="162" t="s">
        <v>9</v>
      </c>
      <c r="BI63" s="162" t="s">
        <v>9</v>
      </c>
      <c r="BJ63" s="162" t="s">
        <v>9</v>
      </c>
      <c r="BK63" s="162" t="s">
        <v>9</v>
      </c>
      <c r="BL63" s="162" t="s">
        <v>9</v>
      </c>
      <c r="BM63" s="162" t="s">
        <v>9</v>
      </c>
      <c r="BN63" s="162" t="s">
        <v>9</v>
      </c>
      <c r="BO63" s="162" t="s">
        <v>9</v>
      </c>
      <c r="BP63" s="162" t="s">
        <v>9</v>
      </c>
      <c r="BQ63" s="162" t="s">
        <v>9</v>
      </c>
      <c r="BR63" s="162" t="s">
        <v>9</v>
      </c>
      <c r="BS63" s="194"/>
    </row>
    <row r="64" spans="1:71" hidden="1">
      <c r="A64" s="145" t="s">
        <v>234</v>
      </c>
      <c r="B64" s="145" t="s">
        <v>49</v>
      </c>
      <c r="C64" s="145">
        <v>2</v>
      </c>
      <c r="D64" s="146" t="s">
        <v>607</v>
      </c>
      <c r="E64" s="147" t="str">
        <f>IF(COUNTIF(Measure_62443_3_3[[#This Row],[G 0.13 Interception of Compromising Interference Signals]:[OPS.1.1.3.8 Manipulation of data and tools during patch and change management]],"P")&gt;0,"X","")</f>
        <v/>
      </c>
      <c r="F64" s="147" t="str">
        <f>IF(OR(Measure_62443_3_3[[#This Row],[Requirement Selected (Prefulfilled)]]="X",Measure_62443_3_3[[#This Row],[Relevance revoked]]="Yes"),"X","")</f>
        <v/>
      </c>
      <c r="G64" s="147" t="str">
        <f>IF(COUNTIF(Measure_62443_3_3[[#This Row],[G 0.13 Interception of Compromising Interference Signals]:[OPS.1.1.3.8 Manipulation of data and tools during patch and change management]],"P")&gt;0,"X","")</f>
        <v/>
      </c>
      <c r="H64" s="147" t="str">
        <f>IF(OR(Measure_62443_3_3[[#This Row],[Requirement Selected (Prefulfilled + Mitigating)]]="X",Measure_62443_3_3[[#This Row],[Relevance revoked]]="Yes"),"X","")</f>
        <v/>
      </c>
      <c r="I64" s="148" t="str">
        <f>IF(VLOOKUP(Measure_62443_3_3[[#This Row],[FR]],'SL-T'!$A$5:$B$11,2,FALSE)&gt;=Measure_62443_3_3[[#This Row],[lowest SL-T]],"X","")</f>
        <v/>
      </c>
      <c r="J64" s="160" t="s">
        <v>90</v>
      </c>
      <c r="K64" s="161"/>
      <c r="L64" s="162" t="s">
        <v>9</v>
      </c>
      <c r="M64" s="162" t="s">
        <v>9</v>
      </c>
      <c r="N64" s="162" t="s">
        <v>9</v>
      </c>
      <c r="O64" s="162" t="s">
        <v>9</v>
      </c>
      <c r="P64" s="162" t="s">
        <v>9</v>
      </c>
      <c r="Q64" s="162" t="s">
        <v>9</v>
      </c>
      <c r="R64" s="162" t="s">
        <v>9</v>
      </c>
      <c r="S64" s="162" t="s">
        <v>9</v>
      </c>
      <c r="T64" s="162" t="s">
        <v>9</v>
      </c>
      <c r="U64" s="162" t="s">
        <v>9</v>
      </c>
      <c r="V64" s="162" t="s">
        <v>9</v>
      </c>
      <c r="W64" s="162" t="s">
        <v>9</v>
      </c>
      <c r="X64" s="162" t="s">
        <v>9</v>
      </c>
      <c r="Y64" s="162" t="s">
        <v>9</v>
      </c>
      <c r="Z64" s="162" t="s">
        <v>9</v>
      </c>
      <c r="AA64" s="162" t="s">
        <v>9</v>
      </c>
      <c r="AB64" s="162" t="s">
        <v>9</v>
      </c>
      <c r="AC64" s="162" t="s">
        <v>9</v>
      </c>
      <c r="AD64" s="162" t="s">
        <v>9</v>
      </c>
      <c r="AE64" s="162" t="s">
        <v>9</v>
      </c>
      <c r="AF64" s="162" t="s">
        <v>9</v>
      </c>
      <c r="AG64" s="162" t="s">
        <v>9</v>
      </c>
      <c r="AH64" s="162" t="s">
        <v>9</v>
      </c>
      <c r="AI64" s="162" t="s">
        <v>9</v>
      </c>
      <c r="AJ64" s="162" t="s">
        <v>9</v>
      </c>
      <c r="AK64" s="162" t="s">
        <v>9</v>
      </c>
      <c r="AL64" s="162" t="s">
        <v>9</v>
      </c>
      <c r="AM64" s="162" t="s">
        <v>9</v>
      </c>
      <c r="AN64" s="162" t="s">
        <v>9</v>
      </c>
      <c r="AO64" s="162" t="s">
        <v>9</v>
      </c>
      <c r="AP64" s="162" t="s">
        <v>9</v>
      </c>
      <c r="AQ64" s="162" t="s">
        <v>9</v>
      </c>
      <c r="AR64" s="162" t="s">
        <v>9</v>
      </c>
      <c r="AS64" s="162" t="s">
        <v>9</v>
      </c>
      <c r="AT64" s="162" t="s">
        <v>9</v>
      </c>
      <c r="AU64" s="162" t="s">
        <v>9</v>
      </c>
      <c r="AV64" s="162" t="s">
        <v>9</v>
      </c>
      <c r="AW64" s="162" t="s">
        <v>9</v>
      </c>
      <c r="AX64" s="162" t="s">
        <v>9</v>
      </c>
      <c r="AY64" s="162" t="s">
        <v>9</v>
      </c>
      <c r="AZ64" s="162" t="s">
        <v>9</v>
      </c>
      <c r="BA64" s="162" t="s">
        <v>9</v>
      </c>
      <c r="BB64" s="162" t="s">
        <v>9</v>
      </c>
      <c r="BC64" s="162" t="s">
        <v>9</v>
      </c>
      <c r="BD64" s="162" t="s">
        <v>9</v>
      </c>
      <c r="BE64" s="162" t="s">
        <v>9</v>
      </c>
      <c r="BF64" s="162" t="s">
        <v>9</v>
      </c>
      <c r="BG64" s="162" t="s">
        <v>9</v>
      </c>
      <c r="BH64" s="162" t="s">
        <v>9</v>
      </c>
      <c r="BI64" s="162" t="s">
        <v>9</v>
      </c>
      <c r="BJ64" s="162" t="s">
        <v>9</v>
      </c>
      <c r="BK64" s="162" t="s">
        <v>9</v>
      </c>
      <c r="BL64" s="162" t="s">
        <v>9</v>
      </c>
      <c r="BM64" s="162" t="s">
        <v>9</v>
      </c>
      <c r="BN64" s="162" t="s">
        <v>9</v>
      </c>
      <c r="BO64" s="162" t="s">
        <v>9</v>
      </c>
      <c r="BP64" s="162" t="s">
        <v>9</v>
      </c>
      <c r="BQ64" s="162" t="s">
        <v>9</v>
      </c>
      <c r="BR64" s="162" t="s">
        <v>9</v>
      </c>
      <c r="BS64" s="194"/>
    </row>
    <row r="65" spans="1:71" hidden="1">
      <c r="A65" s="145" t="s">
        <v>235</v>
      </c>
      <c r="B65" s="145" t="s">
        <v>49</v>
      </c>
      <c r="C65" s="145">
        <v>2</v>
      </c>
      <c r="D65" s="146" t="s">
        <v>607</v>
      </c>
      <c r="E65" s="147" t="str">
        <f>IF(COUNTIF(Measure_62443_3_3[[#This Row],[G 0.13 Interception of Compromising Interference Signals]:[OPS.1.1.3.8 Manipulation of data and tools during patch and change management]],"P")&gt;0,"X","")</f>
        <v/>
      </c>
      <c r="F65" s="147" t="str">
        <f>IF(OR(Measure_62443_3_3[[#This Row],[Requirement Selected (Prefulfilled)]]="X",Measure_62443_3_3[[#This Row],[Relevance revoked]]="Yes"),"X","")</f>
        <v/>
      </c>
      <c r="G65" s="147" t="str">
        <f>IF(COUNTIF(Measure_62443_3_3[[#This Row],[G 0.13 Interception of Compromising Interference Signals]:[OPS.1.1.3.8 Manipulation of data and tools during patch and change management]],"P")&gt;0,"X","")</f>
        <v/>
      </c>
      <c r="H65" s="147" t="str">
        <f>IF(OR(Measure_62443_3_3[[#This Row],[Requirement Selected (Prefulfilled + Mitigating)]]="X",Measure_62443_3_3[[#This Row],[Relevance revoked]]="Yes"),"X","")</f>
        <v/>
      </c>
      <c r="I65" s="148" t="str">
        <f>IF(VLOOKUP(Measure_62443_3_3[[#This Row],[FR]],'SL-T'!$A$5:$B$11,2,FALSE)&gt;=Measure_62443_3_3[[#This Row],[lowest SL-T]],"X","")</f>
        <v/>
      </c>
      <c r="J65" s="160" t="s">
        <v>90</v>
      </c>
      <c r="K65" s="161"/>
      <c r="L65" s="162" t="s">
        <v>9</v>
      </c>
      <c r="M65" s="162" t="s">
        <v>9</v>
      </c>
      <c r="N65" s="162" t="s">
        <v>9</v>
      </c>
      <c r="O65" s="162" t="s">
        <v>9</v>
      </c>
      <c r="P65" s="162" t="s">
        <v>9</v>
      </c>
      <c r="Q65" s="162" t="s">
        <v>9</v>
      </c>
      <c r="R65" s="162" t="s">
        <v>9</v>
      </c>
      <c r="S65" s="162" t="s">
        <v>9</v>
      </c>
      <c r="T65" s="162" t="s">
        <v>9</v>
      </c>
      <c r="U65" s="162" t="s">
        <v>9</v>
      </c>
      <c r="V65" s="162" t="s">
        <v>9</v>
      </c>
      <c r="W65" s="162" t="s">
        <v>9</v>
      </c>
      <c r="X65" s="162" t="s">
        <v>9</v>
      </c>
      <c r="Y65" s="162" t="s">
        <v>9</v>
      </c>
      <c r="Z65" s="162" t="s">
        <v>9</v>
      </c>
      <c r="AA65" s="162" t="s">
        <v>9</v>
      </c>
      <c r="AB65" s="162" t="s">
        <v>9</v>
      </c>
      <c r="AC65" s="162" t="s">
        <v>9</v>
      </c>
      <c r="AD65" s="162" t="s">
        <v>9</v>
      </c>
      <c r="AE65" s="162" t="s">
        <v>9</v>
      </c>
      <c r="AF65" s="162" t="s">
        <v>9</v>
      </c>
      <c r="AG65" s="162" t="s">
        <v>9</v>
      </c>
      <c r="AH65" s="162" t="s">
        <v>9</v>
      </c>
      <c r="AI65" s="162" t="s">
        <v>9</v>
      </c>
      <c r="AJ65" s="162" t="s">
        <v>9</v>
      </c>
      <c r="AK65" s="162" t="s">
        <v>9</v>
      </c>
      <c r="AL65" s="162" t="s">
        <v>9</v>
      </c>
      <c r="AM65" s="162" t="s">
        <v>9</v>
      </c>
      <c r="AN65" s="162" t="s">
        <v>9</v>
      </c>
      <c r="AO65" s="162" t="s">
        <v>9</v>
      </c>
      <c r="AP65" s="162" t="s">
        <v>9</v>
      </c>
      <c r="AQ65" s="162" t="s">
        <v>9</v>
      </c>
      <c r="AR65" s="162" t="s">
        <v>9</v>
      </c>
      <c r="AS65" s="162" t="s">
        <v>9</v>
      </c>
      <c r="AT65" s="162" t="s">
        <v>9</v>
      </c>
      <c r="AU65" s="162" t="s">
        <v>9</v>
      </c>
      <c r="AV65" s="162" t="s">
        <v>9</v>
      </c>
      <c r="AW65" s="162" t="s">
        <v>9</v>
      </c>
      <c r="AX65" s="162" t="s">
        <v>9</v>
      </c>
      <c r="AY65" s="162" t="s">
        <v>9</v>
      </c>
      <c r="AZ65" s="162" t="s">
        <v>9</v>
      </c>
      <c r="BA65" s="162" t="s">
        <v>9</v>
      </c>
      <c r="BB65" s="162" t="s">
        <v>9</v>
      </c>
      <c r="BC65" s="162" t="s">
        <v>9</v>
      </c>
      <c r="BD65" s="162" t="s">
        <v>9</v>
      </c>
      <c r="BE65" s="162" t="s">
        <v>9</v>
      </c>
      <c r="BF65" s="162" t="s">
        <v>9</v>
      </c>
      <c r="BG65" s="162" t="s">
        <v>9</v>
      </c>
      <c r="BH65" s="162" t="s">
        <v>9</v>
      </c>
      <c r="BI65" s="162" t="s">
        <v>9</v>
      </c>
      <c r="BJ65" s="162" t="s">
        <v>9</v>
      </c>
      <c r="BK65" s="162" t="s">
        <v>9</v>
      </c>
      <c r="BL65" s="162" t="s">
        <v>9</v>
      </c>
      <c r="BM65" s="162" t="s">
        <v>9</v>
      </c>
      <c r="BN65" s="162" t="s">
        <v>9</v>
      </c>
      <c r="BO65" s="162" t="s">
        <v>9</v>
      </c>
      <c r="BP65" s="162" t="s">
        <v>9</v>
      </c>
      <c r="BQ65" s="162" t="s">
        <v>9</v>
      </c>
      <c r="BR65" s="162" t="s">
        <v>9</v>
      </c>
      <c r="BS65" s="194"/>
    </row>
    <row r="66" spans="1:71" hidden="1">
      <c r="A66" s="145" t="s">
        <v>236</v>
      </c>
      <c r="B66" s="145" t="s">
        <v>49</v>
      </c>
      <c r="C66" s="145">
        <v>3</v>
      </c>
      <c r="D66" s="146" t="s">
        <v>607</v>
      </c>
      <c r="E66" s="147" t="str">
        <f>IF(COUNTIF(Measure_62443_3_3[[#This Row],[G 0.13 Interception of Compromising Interference Signals]:[OPS.1.1.3.8 Manipulation of data and tools during patch and change management]],"P")&gt;0,"X","")</f>
        <v/>
      </c>
      <c r="F66" s="147" t="str">
        <f>IF(OR(Measure_62443_3_3[[#This Row],[Requirement Selected (Prefulfilled)]]="X",Measure_62443_3_3[[#This Row],[Relevance revoked]]="Yes"),"X","")</f>
        <v/>
      </c>
      <c r="G66" s="147" t="str">
        <f>IF(COUNTIF(Measure_62443_3_3[[#This Row],[G 0.13 Interception of Compromising Interference Signals]:[OPS.1.1.3.8 Manipulation of data and tools during patch and change management]],"P")&gt;0,"X","")</f>
        <v/>
      </c>
      <c r="H66" s="147" t="str">
        <f>IF(OR(Measure_62443_3_3[[#This Row],[Requirement Selected (Prefulfilled + Mitigating)]]="X",Measure_62443_3_3[[#This Row],[Relevance revoked]]="Yes"),"X","")</f>
        <v/>
      </c>
      <c r="I66" s="148" t="str">
        <f>IF(VLOOKUP(Measure_62443_3_3[[#This Row],[FR]],'SL-T'!$A$5:$B$11,2,FALSE)&gt;=Measure_62443_3_3[[#This Row],[lowest SL-T]],"X","")</f>
        <v/>
      </c>
      <c r="J66" s="160" t="s">
        <v>90</v>
      </c>
      <c r="K66" s="161"/>
      <c r="L66" s="162" t="s">
        <v>9</v>
      </c>
      <c r="M66" s="162" t="s">
        <v>9</v>
      </c>
      <c r="N66" s="162" t="s">
        <v>9</v>
      </c>
      <c r="O66" s="162" t="s">
        <v>9</v>
      </c>
      <c r="P66" s="162" t="s">
        <v>9</v>
      </c>
      <c r="Q66" s="162" t="s">
        <v>9</v>
      </c>
      <c r="R66" s="162" t="s">
        <v>9</v>
      </c>
      <c r="S66" s="162" t="s">
        <v>9</v>
      </c>
      <c r="T66" s="162" t="s">
        <v>9</v>
      </c>
      <c r="U66" s="162" t="s">
        <v>9</v>
      </c>
      <c r="V66" s="162" t="s">
        <v>9</v>
      </c>
      <c r="W66" s="162" t="s">
        <v>9</v>
      </c>
      <c r="X66" s="162" t="s">
        <v>9</v>
      </c>
      <c r="Y66" s="162" t="s">
        <v>9</v>
      </c>
      <c r="Z66" s="162" t="s">
        <v>9</v>
      </c>
      <c r="AA66" s="162" t="s">
        <v>9</v>
      </c>
      <c r="AB66" s="162" t="s">
        <v>9</v>
      </c>
      <c r="AC66" s="162" t="s">
        <v>9</v>
      </c>
      <c r="AD66" s="162" t="s">
        <v>9</v>
      </c>
      <c r="AE66" s="162" t="s">
        <v>9</v>
      </c>
      <c r="AF66" s="162" t="s">
        <v>9</v>
      </c>
      <c r="AG66" s="162" t="s">
        <v>9</v>
      </c>
      <c r="AH66" s="162" t="s">
        <v>9</v>
      </c>
      <c r="AI66" s="162" t="s">
        <v>9</v>
      </c>
      <c r="AJ66" s="162" t="s">
        <v>9</v>
      </c>
      <c r="AK66" s="162" t="s">
        <v>9</v>
      </c>
      <c r="AL66" s="162" t="s">
        <v>9</v>
      </c>
      <c r="AM66" s="162" t="s">
        <v>9</v>
      </c>
      <c r="AN66" s="162" t="s">
        <v>9</v>
      </c>
      <c r="AO66" s="162" t="s">
        <v>9</v>
      </c>
      <c r="AP66" s="162" t="s">
        <v>9</v>
      </c>
      <c r="AQ66" s="162" t="s">
        <v>9</v>
      </c>
      <c r="AR66" s="162" t="s">
        <v>9</v>
      </c>
      <c r="AS66" s="162" t="s">
        <v>9</v>
      </c>
      <c r="AT66" s="162" t="s">
        <v>9</v>
      </c>
      <c r="AU66" s="162" t="s">
        <v>9</v>
      </c>
      <c r="AV66" s="162" t="s">
        <v>9</v>
      </c>
      <c r="AW66" s="162" t="s">
        <v>9</v>
      </c>
      <c r="AX66" s="162" t="s">
        <v>9</v>
      </c>
      <c r="AY66" s="162" t="s">
        <v>9</v>
      </c>
      <c r="AZ66" s="162" t="s">
        <v>9</v>
      </c>
      <c r="BA66" s="162" t="s">
        <v>9</v>
      </c>
      <c r="BB66" s="162" t="s">
        <v>9</v>
      </c>
      <c r="BC66" s="162" t="s">
        <v>9</v>
      </c>
      <c r="BD66" s="162" t="s">
        <v>9</v>
      </c>
      <c r="BE66" s="162" t="s">
        <v>9</v>
      </c>
      <c r="BF66" s="162" t="s">
        <v>9</v>
      </c>
      <c r="BG66" s="162" t="s">
        <v>9</v>
      </c>
      <c r="BH66" s="162" t="s">
        <v>9</v>
      </c>
      <c r="BI66" s="162" t="s">
        <v>9</v>
      </c>
      <c r="BJ66" s="162" t="s">
        <v>9</v>
      </c>
      <c r="BK66" s="162" t="s">
        <v>9</v>
      </c>
      <c r="BL66" s="162" t="s">
        <v>9</v>
      </c>
      <c r="BM66" s="162" t="s">
        <v>9</v>
      </c>
      <c r="BN66" s="162" t="s">
        <v>9</v>
      </c>
      <c r="BO66" s="162" t="s">
        <v>9</v>
      </c>
      <c r="BP66" s="162" t="s">
        <v>9</v>
      </c>
      <c r="BQ66" s="162" t="s">
        <v>9</v>
      </c>
      <c r="BR66" s="162" t="s">
        <v>9</v>
      </c>
      <c r="BS66" s="194"/>
    </row>
    <row r="67" spans="1:71" hidden="1">
      <c r="A67" s="145" t="s">
        <v>237</v>
      </c>
      <c r="B67" s="145" t="s">
        <v>49</v>
      </c>
      <c r="C67" s="145">
        <v>3</v>
      </c>
      <c r="D67" s="146" t="s">
        <v>607</v>
      </c>
      <c r="E67" s="147" t="str">
        <f>IF(COUNTIF(Measure_62443_3_3[[#This Row],[G 0.13 Interception of Compromising Interference Signals]:[OPS.1.1.3.8 Manipulation of data and tools during patch and change management]],"P")&gt;0,"X","")</f>
        <v/>
      </c>
      <c r="F67" s="147" t="str">
        <f>IF(OR(Measure_62443_3_3[[#This Row],[Requirement Selected (Prefulfilled)]]="X",Measure_62443_3_3[[#This Row],[Relevance revoked]]="Yes"),"X","")</f>
        <v/>
      </c>
      <c r="G67" s="147" t="str">
        <f>IF(COUNTIF(Measure_62443_3_3[[#This Row],[G 0.13 Interception of Compromising Interference Signals]:[OPS.1.1.3.8 Manipulation of data and tools during patch and change management]],"P")&gt;0,"X","")</f>
        <v/>
      </c>
      <c r="H67" s="147" t="str">
        <f>IF(OR(Measure_62443_3_3[[#This Row],[Requirement Selected (Prefulfilled + Mitigating)]]="X",Measure_62443_3_3[[#This Row],[Relevance revoked]]="Yes"),"X","")</f>
        <v/>
      </c>
      <c r="I67" s="148" t="str">
        <f>IF(VLOOKUP(Measure_62443_3_3[[#This Row],[FR]],'SL-T'!$A$5:$B$11,2,FALSE)&gt;=Measure_62443_3_3[[#This Row],[lowest SL-T]],"X","")</f>
        <v/>
      </c>
      <c r="J67" s="160" t="s">
        <v>90</v>
      </c>
      <c r="K67" s="161"/>
      <c r="L67" s="162" t="s">
        <v>9</v>
      </c>
      <c r="M67" s="162" t="s">
        <v>9</v>
      </c>
      <c r="N67" s="162" t="s">
        <v>9</v>
      </c>
      <c r="O67" s="162" t="s">
        <v>9</v>
      </c>
      <c r="P67" s="162" t="s">
        <v>9</v>
      </c>
      <c r="Q67" s="162" t="s">
        <v>9</v>
      </c>
      <c r="R67" s="162" t="s">
        <v>9</v>
      </c>
      <c r="S67" s="162" t="s">
        <v>9</v>
      </c>
      <c r="T67" s="162" t="s">
        <v>9</v>
      </c>
      <c r="U67" s="162" t="s">
        <v>9</v>
      </c>
      <c r="V67" s="162" t="s">
        <v>9</v>
      </c>
      <c r="W67" s="162" t="s">
        <v>9</v>
      </c>
      <c r="X67" s="162" t="s">
        <v>9</v>
      </c>
      <c r="Y67" s="162" t="s">
        <v>9</v>
      </c>
      <c r="Z67" s="162" t="s">
        <v>9</v>
      </c>
      <c r="AA67" s="162" t="s">
        <v>9</v>
      </c>
      <c r="AB67" s="162" t="s">
        <v>9</v>
      </c>
      <c r="AC67" s="162" t="s">
        <v>9</v>
      </c>
      <c r="AD67" s="162" t="s">
        <v>9</v>
      </c>
      <c r="AE67" s="162" t="s">
        <v>9</v>
      </c>
      <c r="AF67" s="162" t="s">
        <v>9</v>
      </c>
      <c r="AG67" s="162" t="s">
        <v>9</v>
      </c>
      <c r="AH67" s="162" t="s">
        <v>9</v>
      </c>
      <c r="AI67" s="162" t="s">
        <v>9</v>
      </c>
      <c r="AJ67" s="162" t="s">
        <v>9</v>
      </c>
      <c r="AK67" s="162" t="s">
        <v>9</v>
      </c>
      <c r="AL67" s="162" t="s">
        <v>9</v>
      </c>
      <c r="AM67" s="162" t="s">
        <v>9</v>
      </c>
      <c r="AN67" s="162" t="s">
        <v>9</v>
      </c>
      <c r="AO67" s="162" t="s">
        <v>9</v>
      </c>
      <c r="AP67" s="162" t="s">
        <v>9</v>
      </c>
      <c r="AQ67" s="162" t="s">
        <v>9</v>
      </c>
      <c r="AR67" s="162" t="s">
        <v>9</v>
      </c>
      <c r="AS67" s="162" t="s">
        <v>9</v>
      </c>
      <c r="AT67" s="162" t="s">
        <v>9</v>
      </c>
      <c r="AU67" s="162" t="s">
        <v>9</v>
      </c>
      <c r="AV67" s="162" t="s">
        <v>9</v>
      </c>
      <c r="AW67" s="162" t="s">
        <v>9</v>
      </c>
      <c r="AX67" s="162" t="s">
        <v>9</v>
      </c>
      <c r="AY67" s="162" t="s">
        <v>9</v>
      </c>
      <c r="AZ67" s="162" t="s">
        <v>9</v>
      </c>
      <c r="BA67" s="162" t="s">
        <v>9</v>
      </c>
      <c r="BB67" s="162" t="s">
        <v>9</v>
      </c>
      <c r="BC67" s="162" t="s">
        <v>9</v>
      </c>
      <c r="BD67" s="162" t="s">
        <v>9</v>
      </c>
      <c r="BE67" s="162" t="s">
        <v>9</v>
      </c>
      <c r="BF67" s="162" t="s">
        <v>9</v>
      </c>
      <c r="BG67" s="162" t="s">
        <v>9</v>
      </c>
      <c r="BH67" s="162" t="s">
        <v>9</v>
      </c>
      <c r="BI67" s="162" t="s">
        <v>9</v>
      </c>
      <c r="BJ67" s="162" t="s">
        <v>9</v>
      </c>
      <c r="BK67" s="162" t="s">
        <v>9</v>
      </c>
      <c r="BL67" s="162" t="s">
        <v>9</v>
      </c>
      <c r="BM67" s="162" t="s">
        <v>9</v>
      </c>
      <c r="BN67" s="162" t="s">
        <v>9</v>
      </c>
      <c r="BO67" s="162" t="s">
        <v>9</v>
      </c>
      <c r="BP67" s="162" t="s">
        <v>9</v>
      </c>
      <c r="BQ67" s="162" t="s">
        <v>9</v>
      </c>
      <c r="BR67" s="162" t="s">
        <v>9</v>
      </c>
      <c r="BS67" s="194"/>
    </row>
    <row r="68" spans="1:71" hidden="1">
      <c r="A68" s="145" t="s">
        <v>238</v>
      </c>
      <c r="B68" s="145" t="s">
        <v>49</v>
      </c>
      <c r="C68" s="145">
        <v>4</v>
      </c>
      <c r="D68" s="146" t="s">
        <v>607</v>
      </c>
      <c r="E68" s="147" t="str">
        <f>IF(COUNTIF(Measure_62443_3_3[[#This Row],[G 0.13 Interception of Compromising Interference Signals]:[OPS.1.1.3.8 Manipulation of data and tools during patch and change management]],"P")&gt;0,"X","")</f>
        <v/>
      </c>
      <c r="F68" s="147" t="str">
        <f>IF(OR(Measure_62443_3_3[[#This Row],[Requirement Selected (Prefulfilled)]]="X",Measure_62443_3_3[[#This Row],[Relevance revoked]]="Yes"),"X","")</f>
        <v/>
      </c>
      <c r="G68" s="147" t="str">
        <f>IF(COUNTIF(Measure_62443_3_3[[#This Row],[G 0.13 Interception of Compromising Interference Signals]:[OPS.1.1.3.8 Manipulation of data and tools during patch and change management]],"P")&gt;0,"X","")</f>
        <v/>
      </c>
      <c r="H68" s="147" t="str">
        <f>IF(OR(Measure_62443_3_3[[#This Row],[Requirement Selected (Prefulfilled + Mitigating)]]="X",Measure_62443_3_3[[#This Row],[Relevance revoked]]="Yes"),"X","")</f>
        <v/>
      </c>
      <c r="I68" s="148" t="str">
        <f>IF(VLOOKUP(Measure_62443_3_3[[#This Row],[FR]],'SL-T'!$A$5:$B$11,2,FALSE)&gt;=Measure_62443_3_3[[#This Row],[lowest SL-T]],"X","")</f>
        <v/>
      </c>
      <c r="J68" s="160" t="s">
        <v>90</v>
      </c>
      <c r="K68" s="161"/>
      <c r="L68" s="162" t="s">
        <v>9</v>
      </c>
      <c r="M68" s="162" t="s">
        <v>9</v>
      </c>
      <c r="N68" s="162" t="s">
        <v>9</v>
      </c>
      <c r="O68" s="162" t="s">
        <v>9</v>
      </c>
      <c r="P68" s="162" t="s">
        <v>9</v>
      </c>
      <c r="Q68" s="162" t="s">
        <v>9</v>
      </c>
      <c r="R68" s="162" t="s">
        <v>9</v>
      </c>
      <c r="S68" s="162" t="s">
        <v>9</v>
      </c>
      <c r="T68" s="162" t="s">
        <v>9</v>
      </c>
      <c r="U68" s="162" t="s">
        <v>9</v>
      </c>
      <c r="V68" s="162" t="s">
        <v>9</v>
      </c>
      <c r="W68" s="162" t="s">
        <v>9</v>
      </c>
      <c r="X68" s="162" t="s">
        <v>9</v>
      </c>
      <c r="Y68" s="162" t="s">
        <v>9</v>
      </c>
      <c r="Z68" s="162" t="s">
        <v>9</v>
      </c>
      <c r="AA68" s="162" t="s">
        <v>9</v>
      </c>
      <c r="AB68" s="162" t="s">
        <v>9</v>
      </c>
      <c r="AC68" s="162" t="s">
        <v>9</v>
      </c>
      <c r="AD68" s="162" t="s">
        <v>9</v>
      </c>
      <c r="AE68" s="162" t="s">
        <v>9</v>
      </c>
      <c r="AF68" s="162" t="s">
        <v>9</v>
      </c>
      <c r="AG68" s="162" t="s">
        <v>9</v>
      </c>
      <c r="AH68" s="162" t="s">
        <v>9</v>
      </c>
      <c r="AI68" s="162" t="s">
        <v>9</v>
      </c>
      <c r="AJ68" s="162" t="s">
        <v>9</v>
      </c>
      <c r="AK68" s="162" t="s">
        <v>9</v>
      </c>
      <c r="AL68" s="162" t="s">
        <v>9</v>
      </c>
      <c r="AM68" s="162" t="s">
        <v>9</v>
      </c>
      <c r="AN68" s="162" t="s">
        <v>9</v>
      </c>
      <c r="AO68" s="162" t="s">
        <v>9</v>
      </c>
      <c r="AP68" s="162" t="s">
        <v>9</v>
      </c>
      <c r="AQ68" s="162" t="s">
        <v>9</v>
      </c>
      <c r="AR68" s="162" t="s">
        <v>9</v>
      </c>
      <c r="AS68" s="162" t="s">
        <v>9</v>
      </c>
      <c r="AT68" s="162" t="s">
        <v>9</v>
      </c>
      <c r="AU68" s="162" t="s">
        <v>9</v>
      </c>
      <c r="AV68" s="162" t="s">
        <v>9</v>
      </c>
      <c r="AW68" s="162" t="s">
        <v>9</v>
      </c>
      <c r="AX68" s="162" t="s">
        <v>9</v>
      </c>
      <c r="AY68" s="162" t="s">
        <v>9</v>
      </c>
      <c r="AZ68" s="162" t="s">
        <v>9</v>
      </c>
      <c r="BA68" s="162" t="s">
        <v>9</v>
      </c>
      <c r="BB68" s="162" t="s">
        <v>9</v>
      </c>
      <c r="BC68" s="162" t="s">
        <v>9</v>
      </c>
      <c r="BD68" s="162" t="s">
        <v>9</v>
      </c>
      <c r="BE68" s="162" t="s">
        <v>9</v>
      </c>
      <c r="BF68" s="162" t="s">
        <v>9</v>
      </c>
      <c r="BG68" s="162" t="s">
        <v>9</v>
      </c>
      <c r="BH68" s="162" t="s">
        <v>9</v>
      </c>
      <c r="BI68" s="162" t="s">
        <v>9</v>
      </c>
      <c r="BJ68" s="162" t="s">
        <v>9</v>
      </c>
      <c r="BK68" s="162" t="s">
        <v>9</v>
      </c>
      <c r="BL68" s="162" t="s">
        <v>9</v>
      </c>
      <c r="BM68" s="162" t="s">
        <v>9</v>
      </c>
      <c r="BN68" s="162" t="s">
        <v>9</v>
      </c>
      <c r="BO68" s="162" t="s">
        <v>9</v>
      </c>
      <c r="BP68" s="162" t="s">
        <v>9</v>
      </c>
      <c r="BQ68" s="162" t="s">
        <v>9</v>
      </c>
      <c r="BR68" s="162" t="s">
        <v>9</v>
      </c>
      <c r="BS68" s="194"/>
    </row>
    <row r="69" spans="1:71" hidden="1">
      <c r="A69" s="145" t="s">
        <v>239</v>
      </c>
      <c r="B69" s="145" t="s">
        <v>49</v>
      </c>
      <c r="C69" s="145">
        <v>2</v>
      </c>
      <c r="D69" s="146" t="s">
        <v>607</v>
      </c>
      <c r="E69" s="147" t="str">
        <f>IF(COUNTIF(Measure_62443_3_3[[#This Row],[G 0.13 Interception of Compromising Interference Signals]:[OPS.1.1.3.8 Manipulation of data and tools during patch and change management]],"P")&gt;0,"X","")</f>
        <v/>
      </c>
      <c r="F69" s="147" t="str">
        <f>IF(OR(Measure_62443_3_3[[#This Row],[Requirement Selected (Prefulfilled)]]="X",Measure_62443_3_3[[#This Row],[Relevance revoked]]="Yes"),"X","")</f>
        <v/>
      </c>
      <c r="G69" s="147" t="str">
        <f>IF(COUNTIF(Measure_62443_3_3[[#This Row],[G 0.13 Interception of Compromising Interference Signals]:[OPS.1.1.3.8 Manipulation of data and tools during patch and change management]],"P")&gt;0,"X","")</f>
        <v/>
      </c>
      <c r="H69" s="147" t="str">
        <f>IF(OR(Measure_62443_3_3[[#This Row],[Requirement Selected (Prefulfilled + Mitigating)]]="X",Measure_62443_3_3[[#This Row],[Relevance revoked]]="Yes"),"X","")</f>
        <v/>
      </c>
      <c r="I69" s="148" t="str">
        <f>IF(VLOOKUP(Measure_62443_3_3[[#This Row],[FR]],'SL-T'!$A$5:$B$11,2,FALSE)&gt;=Measure_62443_3_3[[#This Row],[lowest SL-T]],"X","")</f>
        <v/>
      </c>
      <c r="J69" s="160" t="s">
        <v>90</v>
      </c>
      <c r="K69" s="161"/>
      <c r="L69" s="162" t="s">
        <v>9</v>
      </c>
      <c r="M69" s="162" t="s">
        <v>9</v>
      </c>
      <c r="N69" s="162" t="s">
        <v>9</v>
      </c>
      <c r="O69" s="162" t="s">
        <v>9</v>
      </c>
      <c r="P69" s="162" t="s">
        <v>9</v>
      </c>
      <c r="Q69" s="162" t="s">
        <v>9</v>
      </c>
      <c r="R69" s="162" t="s">
        <v>9</v>
      </c>
      <c r="S69" s="162" t="s">
        <v>9</v>
      </c>
      <c r="T69" s="162" t="s">
        <v>9</v>
      </c>
      <c r="U69" s="162" t="s">
        <v>9</v>
      </c>
      <c r="V69" s="162" t="s">
        <v>9</v>
      </c>
      <c r="W69" s="162" t="s">
        <v>9</v>
      </c>
      <c r="X69" s="162" t="s">
        <v>9</v>
      </c>
      <c r="Y69" s="162" t="s">
        <v>9</v>
      </c>
      <c r="Z69" s="162" t="s">
        <v>9</v>
      </c>
      <c r="AA69" s="162" t="s">
        <v>9</v>
      </c>
      <c r="AB69" s="162" t="s">
        <v>9</v>
      </c>
      <c r="AC69" s="162" t="s">
        <v>9</v>
      </c>
      <c r="AD69" s="162" t="s">
        <v>9</v>
      </c>
      <c r="AE69" s="162" t="s">
        <v>9</v>
      </c>
      <c r="AF69" s="162" t="s">
        <v>9</v>
      </c>
      <c r="AG69" s="162" t="s">
        <v>9</v>
      </c>
      <c r="AH69" s="162" t="s">
        <v>9</v>
      </c>
      <c r="AI69" s="162" t="s">
        <v>9</v>
      </c>
      <c r="AJ69" s="162" t="s">
        <v>9</v>
      </c>
      <c r="AK69" s="162" t="s">
        <v>9</v>
      </c>
      <c r="AL69" s="162" t="s">
        <v>9</v>
      </c>
      <c r="AM69" s="162" t="s">
        <v>9</v>
      </c>
      <c r="AN69" s="162" t="s">
        <v>9</v>
      </c>
      <c r="AO69" s="162" t="s">
        <v>9</v>
      </c>
      <c r="AP69" s="162" t="s">
        <v>9</v>
      </c>
      <c r="AQ69" s="162" t="s">
        <v>9</v>
      </c>
      <c r="AR69" s="162" t="s">
        <v>9</v>
      </c>
      <c r="AS69" s="162" t="s">
        <v>9</v>
      </c>
      <c r="AT69" s="162" t="s">
        <v>9</v>
      </c>
      <c r="AU69" s="162" t="s">
        <v>9</v>
      </c>
      <c r="AV69" s="162" t="s">
        <v>9</v>
      </c>
      <c r="AW69" s="162" t="s">
        <v>9</v>
      </c>
      <c r="AX69" s="162" t="s">
        <v>9</v>
      </c>
      <c r="AY69" s="162" t="s">
        <v>9</v>
      </c>
      <c r="AZ69" s="162" t="s">
        <v>9</v>
      </c>
      <c r="BA69" s="162" t="s">
        <v>9</v>
      </c>
      <c r="BB69" s="162" t="s">
        <v>9</v>
      </c>
      <c r="BC69" s="162" t="s">
        <v>9</v>
      </c>
      <c r="BD69" s="162" t="s">
        <v>9</v>
      </c>
      <c r="BE69" s="162" t="s">
        <v>9</v>
      </c>
      <c r="BF69" s="162" t="s">
        <v>9</v>
      </c>
      <c r="BG69" s="162" t="s">
        <v>9</v>
      </c>
      <c r="BH69" s="162" t="s">
        <v>9</v>
      </c>
      <c r="BI69" s="162" t="s">
        <v>9</v>
      </c>
      <c r="BJ69" s="162" t="s">
        <v>9</v>
      </c>
      <c r="BK69" s="162" t="s">
        <v>9</v>
      </c>
      <c r="BL69" s="162" t="s">
        <v>9</v>
      </c>
      <c r="BM69" s="162" t="s">
        <v>9</v>
      </c>
      <c r="BN69" s="162" t="s">
        <v>9</v>
      </c>
      <c r="BO69" s="162" t="s">
        <v>9</v>
      </c>
      <c r="BP69" s="162" t="s">
        <v>9</v>
      </c>
      <c r="BQ69" s="162" t="s">
        <v>9</v>
      </c>
      <c r="BR69" s="162" t="s">
        <v>9</v>
      </c>
      <c r="BS69" s="194"/>
    </row>
    <row r="70" spans="1:71" hidden="1">
      <c r="A70" s="145" t="s">
        <v>240</v>
      </c>
      <c r="B70" s="145" t="s">
        <v>49</v>
      </c>
      <c r="C70" s="145">
        <v>4</v>
      </c>
      <c r="D70" s="146" t="s">
        <v>607</v>
      </c>
      <c r="E70" s="147" t="str">
        <f>IF(COUNTIF(Measure_62443_3_3[[#This Row],[G 0.13 Interception of Compromising Interference Signals]:[OPS.1.1.3.8 Manipulation of data and tools during patch and change management]],"P")&gt;0,"X","")</f>
        <v/>
      </c>
      <c r="F70" s="147" t="str">
        <f>IF(OR(Measure_62443_3_3[[#This Row],[Requirement Selected (Prefulfilled)]]="X",Measure_62443_3_3[[#This Row],[Relevance revoked]]="Yes"),"X","")</f>
        <v/>
      </c>
      <c r="G70" s="147" t="str">
        <f>IF(COUNTIF(Measure_62443_3_3[[#This Row],[G 0.13 Interception of Compromising Interference Signals]:[OPS.1.1.3.8 Manipulation of data and tools during patch and change management]],"P")&gt;0,"X","")</f>
        <v/>
      </c>
      <c r="H70" s="147" t="str">
        <f>IF(OR(Measure_62443_3_3[[#This Row],[Requirement Selected (Prefulfilled + Mitigating)]]="X",Measure_62443_3_3[[#This Row],[Relevance revoked]]="Yes"),"X","")</f>
        <v/>
      </c>
      <c r="I70" s="148" t="str">
        <f>IF(VLOOKUP(Measure_62443_3_3[[#This Row],[FR]],'SL-T'!$A$5:$B$11,2,FALSE)&gt;=Measure_62443_3_3[[#This Row],[lowest SL-T]],"X","")</f>
        <v/>
      </c>
      <c r="J70" s="160" t="s">
        <v>90</v>
      </c>
      <c r="K70" s="161"/>
      <c r="L70" s="162" t="s">
        <v>9</v>
      </c>
      <c r="M70" s="162" t="s">
        <v>9</v>
      </c>
      <c r="N70" s="162" t="s">
        <v>9</v>
      </c>
      <c r="O70" s="162" t="s">
        <v>9</v>
      </c>
      <c r="P70" s="162" t="s">
        <v>9</v>
      </c>
      <c r="Q70" s="162" t="s">
        <v>9</v>
      </c>
      <c r="R70" s="162" t="s">
        <v>9</v>
      </c>
      <c r="S70" s="162" t="s">
        <v>9</v>
      </c>
      <c r="T70" s="162" t="s">
        <v>9</v>
      </c>
      <c r="U70" s="162" t="s">
        <v>9</v>
      </c>
      <c r="V70" s="162" t="s">
        <v>9</v>
      </c>
      <c r="W70" s="162" t="s">
        <v>9</v>
      </c>
      <c r="X70" s="162" t="s">
        <v>9</v>
      </c>
      <c r="Y70" s="162" t="s">
        <v>9</v>
      </c>
      <c r="Z70" s="162" t="s">
        <v>9</v>
      </c>
      <c r="AA70" s="162" t="s">
        <v>9</v>
      </c>
      <c r="AB70" s="162" t="s">
        <v>9</v>
      </c>
      <c r="AC70" s="162" t="s">
        <v>9</v>
      </c>
      <c r="AD70" s="162" t="s">
        <v>9</v>
      </c>
      <c r="AE70" s="162" t="s">
        <v>9</v>
      </c>
      <c r="AF70" s="162" t="s">
        <v>9</v>
      </c>
      <c r="AG70" s="162" t="s">
        <v>9</v>
      </c>
      <c r="AH70" s="162" t="s">
        <v>9</v>
      </c>
      <c r="AI70" s="162" t="s">
        <v>9</v>
      </c>
      <c r="AJ70" s="162" t="s">
        <v>9</v>
      </c>
      <c r="AK70" s="162" t="s">
        <v>9</v>
      </c>
      <c r="AL70" s="162" t="s">
        <v>9</v>
      </c>
      <c r="AM70" s="162" t="s">
        <v>9</v>
      </c>
      <c r="AN70" s="162" t="s">
        <v>9</v>
      </c>
      <c r="AO70" s="162" t="s">
        <v>9</v>
      </c>
      <c r="AP70" s="162" t="s">
        <v>9</v>
      </c>
      <c r="AQ70" s="162" t="s">
        <v>9</v>
      </c>
      <c r="AR70" s="162" t="s">
        <v>9</v>
      </c>
      <c r="AS70" s="162" t="s">
        <v>9</v>
      </c>
      <c r="AT70" s="162" t="s">
        <v>9</v>
      </c>
      <c r="AU70" s="162" t="s">
        <v>9</v>
      </c>
      <c r="AV70" s="162" t="s">
        <v>9</v>
      </c>
      <c r="AW70" s="162" t="s">
        <v>9</v>
      </c>
      <c r="AX70" s="162" t="s">
        <v>9</v>
      </c>
      <c r="AY70" s="162" t="s">
        <v>9</v>
      </c>
      <c r="AZ70" s="162" t="s">
        <v>9</v>
      </c>
      <c r="BA70" s="162" t="s">
        <v>9</v>
      </c>
      <c r="BB70" s="162" t="s">
        <v>9</v>
      </c>
      <c r="BC70" s="162" t="s">
        <v>9</v>
      </c>
      <c r="BD70" s="162" t="s">
        <v>9</v>
      </c>
      <c r="BE70" s="162" t="s">
        <v>9</v>
      </c>
      <c r="BF70" s="162" t="s">
        <v>9</v>
      </c>
      <c r="BG70" s="162" t="s">
        <v>9</v>
      </c>
      <c r="BH70" s="162" t="s">
        <v>9</v>
      </c>
      <c r="BI70" s="162" t="s">
        <v>9</v>
      </c>
      <c r="BJ70" s="162" t="s">
        <v>9</v>
      </c>
      <c r="BK70" s="162" t="s">
        <v>9</v>
      </c>
      <c r="BL70" s="162" t="s">
        <v>9</v>
      </c>
      <c r="BM70" s="162" t="s">
        <v>9</v>
      </c>
      <c r="BN70" s="162" t="s">
        <v>9</v>
      </c>
      <c r="BO70" s="162" t="s">
        <v>9</v>
      </c>
      <c r="BP70" s="162" t="s">
        <v>9</v>
      </c>
      <c r="BQ70" s="162" t="s">
        <v>9</v>
      </c>
      <c r="BR70" s="162" t="s">
        <v>9</v>
      </c>
      <c r="BS70" s="194"/>
    </row>
    <row r="71" spans="1:71">
      <c r="A71" s="145" t="s">
        <v>241</v>
      </c>
      <c r="B71" s="145" t="s">
        <v>50</v>
      </c>
      <c r="C71" s="145">
        <v>1</v>
      </c>
      <c r="D71" s="146" t="s">
        <v>607</v>
      </c>
      <c r="E71" s="147" t="str">
        <f>IF(COUNTIF(Measure_62443_3_3[[#This Row],[G 0.13 Interception of Compromising Interference Signals]:[OPS.1.1.3.8 Manipulation of data and tools during patch and change management]],"P")&gt;0,"X","")</f>
        <v/>
      </c>
      <c r="F71" s="147" t="str">
        <f>IF(OR(Measure_62443_3_3[[#This Row],[Requirement Selected (Prefulfilled)]]="X",Measure_62443_3_3[[#This Row],[Relevance revoked]]="Yes"),"X","")</f>
        <v/>
      </c>
      <c r="G71" s="147" t="str">
        <f>IF(COUNTIF(Measure_62443_3_3[[#This Row],[G 0.13 Interception of Compromising Interference Signals]:[OPS.1.1.3.8 Manipulation of data and tools during patch and change management]],"P")&gt;0,"X","")</f>
        <v/>
      </c>
      <c r="H71" s="147" t="str">
        <f>IF(OR(Measure_62443_3_3[[#This Row],[Requirement Selected (Prefulfilled + Mitigating)]]="X",Measure_62443_3_3[[#This Row],[Relevance revoked]]="Yes"),"X","")</f>
        <v/>
      </c>
      <c r="I71" s="148" t="str">
        <f>IF(VLOOKUP(Measure_62443_3_3[[#This Row],[FR]],'SL-T'!$A$5:$B$11,2,FALSE)&gt;=Measure_62443_3_3[[#This Row],[lowest SL-T]],"X","")</f>
        <v>X</v>
      </c>
      <c r="J71" s="160" t="s">
        <v>90</v>
      </c>
      <c r="K71" s="161"/>
      <c r="L71" s="162" t="s">
        <v>9</v>
      </c>
      <c r="M71" s="162" t="s">
        <v>9</v>
      </c>
      <c r="N71" s="162" t="s">
        <v>9</v>
      </c>
      <c r="O71" s="162" t="s">
        <v>9</v>
      </c>
      <c r="P71" s="162" t="s">
        <v>9</v>
      </c>
      <c r="Q71" s="162" t="s">
        <v>9</v>
      </c>
      <c r="R71" s="162" t="s">
        <v>9</v>
      </c>
      <c r="S71" s="162" t="s">
        <v>9</v>
      </c>
      <c r="T71" s="162" t="s">
        <v>9</v>
      </c>
      <c r="U71" s="162" t="s">
        <v>9</v>
      </c>
      <c r="V71" s="162" t="s">
        <v>9</v>
      </c>
      <c r="W71" s="162" t="s">
        <v>9</v>
      </c>
      <c r="X71" s="162" t="s">
        <v>9</v>
      </c>
      <c r="Y71" s="162" t="s">
        <v>9</v>
      </c>
      <c r="Z71" s="162" t="s">
        <v>9</v>
      </c>
      <c r="AA71" s="162" t="s">
        <v>9</v>
      </c>
      <c r="AB71" s="162" t="s">
        <v>9</v>
      </c>
      <c r="AC71" s="162" t="s">
        <v>9</v>
      </c>
      <c r="AD71" s="162" t="s">
        <v>9</v>
      </c>
      <c r="AE71" s="162" t="s">
        <v>9</v>
      </c>
      <c r="AF71" s="162" t="s">
        <v>9</v>
      </c>
      <c r="AG71" s="162" t="s">
        <v>9</v>
      </c>
      <c r="AH71" s="162" t="s">
        <v>9</v>
      </c>
      <c r="AI71" s="162" t="s">
        <v>9</v>
      </c>
      <c r="AJ71" s="162" t="s">
        <v>9</v>
      </c>
      <c r="AK71" s="162" t="s">
        <v>9</v>
      </c>
      <c r="AL71" s="162" t="s">
        <v>9</v>
      </c>
      <c r="AM71" s="162" t="s">
        <v>9</v>
      </c>
      <c r="AN71" s="162" t="s">
        <v>9</v>
      </c>
      <c r="AO71" s="162" t="s">
        <v>9</v>
      </c>
      <c r="AP71" s="162" t="s">
        <v>9</v>
      </c>
      <c r="AQ71" s="162" t="s">
        <v>9</v>
      </c>
      <c r="AR71" s="162" t="s">
        <v>9</v>
      </c>
      <c r="AS71" s="162" t="s">
        <v>9</v>
      </c>
      <c r="AT71" s="162" t="s">
        <v>9</v>
      </c>
      <c r="AU71" s="162" t="s">
        <v>9</v>
      </c>
      <c r="AV71" s="162" t="s">
        <v>9</v>
      </c>
      <c r="AW71" s="162" t="s">
        <v>9</v>
      </c>
      <c r="AX71" s="162" t="s">
        <v>9</v>
      </c>
      <c r="AY71" s="162" t="s">
        <v>9</v>
      </c>
      <c r="AZ71" s="162" t="s">
        <v>9</v>
      </c>
      <c r="BA71" s="162" t="s">
        <v>9</v>
      </c>
      <c r="BB71" s="162" t="s">
        <v>9</v>
      </c>
      <c r="BC71" s="162" t="s">
        <v>9</v>
      </c>
      <c r="BD71" s="162" t="s">
        <v>9</v>
      </c>
      <c r="BE71" s="162" t="s">
        <v>9</v>
      </c>
      <c r="BF71" s="162" t="s">
        <v>9</v>
      </c>
      <c r="BG71" s="162" t="s">
        <v>9</v>
      </c>
      <c r="BH71" s="162" t="s">
        <v>9</v>
      </c>
      <c r="BI71" s="162" t="s">
        <v>9</v>
      </c>
      <c r="BJ71" s="162" t="s">
        <v>9</v>
      </c>
      <c r="BK71" s="162" t="s">
        <v>9</v>
      </c>
      <c r="BL71" s="162" t="s">
        <v>9</v>
      </c>
      <c r="BM71" s="162" t="s">
        <v>9</v>
      </c>
      <c r="BN71" s="162" t="s">
        <v>9</v>
      </c>
      <c r="BO71" s="162" t="s">
        <v>9</v>
      </c>
      <c r="BP71" s="162" t="s">
        <v>9</v>
      </c>
      <c r="BQ71" s="162" t="s">
        <v>9</v>
      </c>
      <c r="BR71" s="162" t="s">
        <v>9</v>
      </c>
      <c r="BS71" s="194"/>
    </row>
    <row r="72" spans="1:71" hidden="1">
      <c r="A72" s="145" t="s">
        <v>242</v>
      </c>
      <c r="B72" s="145" t="s">
        <v>50</v>
      </c>
      <c r="C72" s="145">
        <v>2</v>
      </c>
      <c r="D72" s="146" t="s">
        <v>607</v>
      </c>
      <c r="E72" s="147" t="str">
        <f>IF(COUNTIF(Measure_62443_3_3[[#This Row],[G 0.13 Interception of Compromising Interference Signals]:[OPS.1.1.3.8 Manipulation of data and tools during patch and change management]],"P")&gt;0,"X","")</f>
        <v/>
      </c>
      <c r="F72" s="147" t="str">
        <f>IF(OR(Measure_62443_3_3[[#This Row],[Requirement Selected (Prefulfilled)]]="X",Measure_62443_3_3[[#This Row],[Relevance revoked]]="Yes"),"X","")</f>
        <v/>
      </c>
      <c r="G72" s="147" t="str">
        <f>IF(COUNTIF(Measure_62443_3_3[[#This Row],[G 0.13 Interception of Compromising Interference Signals]:[OPS.1.1.3.8 Manipulation of data and tools during patch and change management]],"P")&gt;0,"X","")</f>
        <v/>
      </c>
      <c r="H72" s="147" t="str">
        <f>IF(OR(Measure_62443_3_3[[#This Row],[Requirement Selected (Prefulfilled + Mitigating)]]="X",Measure_62443_3_3[[#This Row],[Relevance revoked]]="Yes"),"X","")</f>
        <v/>
      </c>
      <c r="I72" s="148" t="str">
        <f>IF(VLOOKUP(Measure_62443_3_3[[#This Row],[FR]],'SL-T'!$A$5:$B$11,2,FALSE)&gt;=Measure_62443_3_3[[#This Row],[lowest SL-T]],"X","")</f>
        <v/>
      </c>
      <c r="J72" s="160" t="s">
        <v>90</v>
      </c>
      <c r="K72" s="161"/>
      <c r="L72" s="162" t="s">
        <v>9</v>
      </c>
      <c r="M72" s="162" t="s">
        <v>9</v>
      </c>
      <c r="N72" s="162" t="s">
        <v>9</v>
      </c>
      <c r="O72" s="162" t="s">
        <v>9</v>
      </c>
      <c r="P72" s="162" t="s">
        <v>9</v>
      </c>
      <c r="Q72" s="162" t="s">
        <v>9</v>
      </c>
      <c r="R72" s="162" t="s">
        <v>9</v>
      </c>
      <c r="S72" s="162" t="s">
        <v>9</v>
      </c>
      <c r="T72" s="162" t="s">
        <v>9</v>
      </c>
      <c r="U72" s="162" t="s">
        <v>9</v>
      </c>
      <c r="V72" s="162" t="s">
        <v>9</v>
      </c>
      <c r="W72" s="162" t="s">
        <v>9</v>
      </c>
      <c r="X72" s="162" t="s">
        <v>9</v>
      </c>
      <c r="Y72" s="162" t="s">
        <v>9</v>
      </c>
      <c r="Z72" s="162" t="s">
        <v>9</v>
      </c>
      <c r="AA72" s="162" t="s">
        <v>9</v>
      </c>
      <c r="AB72" s="162" t="s">
        <v>9</v>
      </c>
      <c r="AC72" s="162" t="s">
        <v>9</v>
      </c>
      <c r="AD72" s="162" t="s">
        <v>9</v>
      </c>
      <c r="AE72" s="162" t="s">
        <v>9</v>
      </c>
      <c r="AF72" s="162" t="s">
        <v>9</v>
      </c>
      <c r="AG72" s="162" t="s">
        <v>9</v>
      </c>
      <c r="AH72" s="162" t="s">
        <v>9</v>
      </c>
      <c r="AI72" s="162" t="s">
        <v>9</v>
      </c>
      <c r="AJ72" s="162" t="s">
        <v>9</v>
      </c>
      <c r="AK72" s="162" t="s">
        <v>9</v>
      </c>
      <c r="AL72" s="162" t="s">
        <v>9</v>
      </c>
      <c r="AM72" s="162" t="s">
        <v>9</v>
      </c>
      <c r="AN72" s="162" t="s">
        <v>9</v>
      </c>
      <c r="AO72" s="162" t="s">
        <v>9</v>
      </c>
      <c r="AP72" s="162" t="s">
        <v>9</v>
      </c>
      <c r="AQ72" s="162" t="s">
        <v>9</v>
      </c>
      <c r="AR72" s="162" t="s">
        <v>9</v>
      </c>
      <c r="AS72" s="162" t="s">
        <v>9</v>
      </c>
      <c r="AT72" s="162" t="s">
        <v>9</v>
      </c>
      <c r="AU72" s="162" t="s">
        <v>9</v>
      </c>
      <c r="AV72" s="162" t="s">
        <v>9</v>
      </c>
      <c r="AW72" s="162" t="s">
        <v>9</v>
      </c>
      <c r="AX72" s="162" t="s">
        <v>9</v>
      </c>
      <c r="AY72" s="162" t="s">
        <v>9</v>
      </c>
      <c r="AZ72" s="162" t="s">
        <v>9</v>
      </c>
      <c r="BA72" s="162" t="s">
        <v>9</v>
      </c>
      <c r="BB72" s="162" t="s">
        <v>9</v>
      </c>
      <c r="BC72" s="162" t="s">
        <v>9</v>
      </c>
      <c r="BD72" s="162" t="s">
        <v>9</v>
      </c>
      <c r="BE72" s="162" t="s">
        <v>9</v>
      </c>
      <c r="BF72" s="162" t="s">
        <v>9</v>
      </c>
      <c r="BG72" s="162" t="s">
        <v>9</v>
      </c>
      <c r="BH72" s="162" t="s">
        <v>9</v>
      </c>
      <c r="BI72" s="162" t="s">
        <v>9</v>
      </c>
      <c r="BJ72" s="162" t="s">
        <v>9</v>
      </c>
      <c r="BK72" s="162" t="s">
        <v>9</v>
      </c>
      <c r="BL72" s="162" t="s">
        <v>9</v>
      </c>
      <c r="BM72" s="162" t="s">
        <v>9</v>
      </c>
      <c r="BN72" s="162" t="s">
        <v>9</v>
      </c>
      <c r="BO72" s="162" t="s">
        <v>9</v>
      </c>
      <c r="BP72" s="162" t="s">
        <v>9</v>
      </c>
      <c r="BQ72" s="162" t="s">
        <v>9</v>
      </c>
      <c r="BR72" s="162" t="s">
        <v>9</v>
      </c>
      <c r="BS72" s="194"/>
    </row>
    <row r="73" spans="1:71" hidden="1">
      <c r="A73" s="145" t="s">
        <v>243</v>
      </c>
      <c r="B73" s="145" t="s">
        <v>50</v>
      </c>
      <c r="C73" s="145">
        <v>4</v>
      </c>
      <c r="D73" s="146" t="s">
        <v>607</v>
      </c>
      <c r="E73" s="147" t="str">
        <f>IF(COUNTIF(Measure_62443_3_3[[#This Row],[G 0.13 Interception of Compromising Interference Signals]:[OPS.1.1.3.8 Manipulation of data and tools during patch and change management]],"P")&gt;0,"X","")</f>
        <v/>
      </c>
      <c r="F73" s="147" t="str">
        <f>IF(OR(Measure_62443_3_3[[#This Row],[Requirement Selected (Prefulfilled)]]="X",Measure_62443_3_3[[#This Row],[Relevance revoked]]="Yes"),"X","")</f>
        <v/>
      </c>
      <c r="G73" s="147" t="str">
        <f>IF(COUNTIF(Measure_62443_3_3[[#This Row],[G 0.13 Interception of Compromising Interference Signals]:[OPS.1.1.3.8 Manipulation of data and tools during patch and change management]],"P")&gt;0,"X","")</f>
        <v/>
      </c>
      <c r="H73" s="147" t="str">
        <f>IF(OR(Measure_62443_3_3[[#This Row],[Requirement Selected (Prefulfilled + Mitigating)]]="X",Measure_62443_3_3[[#This Row],[Relevance revoked]]="Yes"),"X","")</f>
        <v/>
      </c>
      <c r="I73" s="148" t="str">
        <f>IF(VLOOKUP(Measure_62443_3_3[[#This Row],[FR]],'SL-T'!$A$5:$B$11,2,FALSE)&gt;=Measure_62443_3_3[[#This Row],[lowest SL-T]],"X","")</f>
        <v/>
      </c>
      <c r="J73" s="160" t="s">
        <v>90</v>
      </c>
      <c r="K73" s="161"/>
      <c r="L73" s="162" t="s">
        <v>9</v>
      </c>
      <c r="M73" s="162" t="s">
        <v>9</v>
      </c>
      <c r="N73" s="162" t="s">
        <v>9</v>
      </c>
      <c r="O73" s="162" t="s">
        <v>9</v>
      </c>
      <c r="P73" s="162" t="s">
        <v>9</v>
      </c>
      <c r="Q73" s="162" t="s">
        <v>9</v>
      </c>
      <c r="R73" s="162" t="s">
        <v>9</v>
      </c>
      <c r="S73" s="162" t="s">
        <v>9</v>
      </c>
      <c r="T73" s="162" t="s">
        <v>9</v>
      </c>
      <c r="U73" s="162" t="s">
        <v>9</v>
      </c>
      <c r="V73" s="162" t="s">
        <v>9</v>
      </c>
      <c r="W73" s="162" t="s">
        <v>9</v>
      </c>
      <c r="X73" s="162" t="s">
        <v>9</v>
      </c>
      <c r="Y73" s="162" t="s">
        <v>9</v>
      </c>
      <c r="Z73" s="162" t="s">
        <v>9</v>
      </c>
      <c r="AA73" s="162" t="s">
        <v>9</v>
      </c>
      <c r="AB73" s="162" t="s">
        <v>9</v>
      </c>
      <c r="AC73" s="162" t="s">
        <v>9</v>
      </c>
      <c r="AD73" s="162" t="s">
        <v>9</v>
      </c>
      <c r="AE73" s="162" t="s">
        <v>9</v>
      </c>
      <c r="AF73" s="162" t="s">
        <v>9</v>
      </c>
      <c r="AG73" s="162" t="s">
        <v>9</v>
      </c>
      <c r="AH73" s="162" t="s">
        <v>9</v>
      </c>
      <c r="AI73" s="162" t="s">
        <v>9</v>
      </c>
      <c r="AJ73" s="162" t="s">
        <v>9</v>
      </c>
      <c r="AK73" s="162" t="s">
        <v>9</v>
      </c>
      <c r="AL73" s="162" t="s">
        <v>9</v>
      </c>
      <c r="AM73" s="162" t="s">
        <v>9</v>
      </c>
      <c r="AN73" s="162" t="s">
        <v>9</v>
      </c>
      <c r="AO73" s="162" t="s">
        <v>9</v>
      </c>
      <c r="AP73" s="162" t="s">
        <v>9</v>
      </c>
      <c r="AQ73" s="162" t="s">
        <v>9</v>
      </c>
      <c r="AR73" s="162" t="s">
        <v>9</v>
      </c>
      <c r="AS73" s="162" t="s">
        <v>9</v>
      </c>
      <c r="AT73" s="162" t="s">
        <v>9</v>
      </c>
      <c r="AU73" s="162" t="s">
        <v>9</v>
      </c>
      <c r="AV73" s="162" t="s">
        <v>9</v>
      </c>
      <c r="AW73" s="162" t="s">
        <v>9</v>
      </c>
      <c r="AX73" s="162" t="s">
        <v>9</v>
      </c>
      <c r="AY73" s="162" t="s">
        <v>9</v>
      </c>
      <c r="AZ73" s="162" t="s">
        <v>9</v>
      </c>
      <c r="BA73" s="162" t="s">
        <v>9</v>
      </c>
      <c r="BB73" s="162" t="s">
        <v>9</v>
      </c>
      <c r="BC73" s="162" t="s">
        <v>9</v>
      </c>
      <c r="BD73" s="162" t="s">
        <v>9</v>
      </c>
      <c r="BE73" s="162" t="s">
        <v>9</v>
      </c>
      <c r="BF73" s="162" t="s">
        <v>9</v>
      </c>
      <c r="BG73" s="162" t="s">
        <v>9</v>
      </c>
      <c r="BH73" s="162" t="s">
        <v>9</v>
      </c>
      <c r="BI73" s="162" t="s">
        <v>9</v>
      </c>
      <c r="BJ73" s="162" t="s">
        <v>9</v>
      </c>
      <c r="BK73" s="162" t="s">
        <v>9</v>
      </c>
      <c r="BL73" s="162" t="s">
        <v>9</v>
      </c>
      <c r="BM73" s="162" t="s">
        <v>9</v>
      </c>
      <c r="BN73" s="162" t="s">
        <v>9</v>
      </c>
      <c r="BO73" s="162" t="s">
        <v>9</v>
      </c>
      <c r="BP73" s="162" t="s">
        <v>9</v>
      </c>
      <c r="BQ73" s="162" t="s">
        <v>9</v>
      </c>
      <c r="BR73" s="162" t="s">
        <v>9</v>
      </c>
      <c r="BS73" s="194"/>
    </row>
    <row r="74" spans="1:71" hidden="1">
      <c r="A74" s="145" t="s">
        <v>244</v>
      </c>
      <c r="B74" s="145" t="s">
        <v>50</v>
      </c>
      <c r="C74" s="145">
        <v>2</v>
      </c>
      <c r="D74" s="146" t="s">
        <v>607</v>
      </c>
      <c r="E74" s="147" t="str">
        <f>IF(COUNTIF(Measure_62443_3_3[[#This Row],[G 0.13 Interception of Compromising Interference Signals]:[OPS.1.1.3.8 Manipulation of data and tools during patch and change management]],"P")&gt;0,"X","")</f>
        <v/>
      </c>
      <c r="F74" s="147" t="str">
        <f>IF(OR(Measure_62443_3_3[[#This Row],[Requirement Selected (Prefulfilled)]]="X",Measure_62443_3_3[[#This Row],[Relevance revoked]]="Yes"),"X","")</f>
        <v/>
      </c>
      <c r="G74" s="147" t="str">
        <f>IF(COUNTIF(Measure_62443_3_3[[#This Row],[G 0.13 Interception of Compromising Interference Signals]:[OPS.1.1.3.8 Manipulation of data and tools during patch and change management]],"P")&gt;0,"X","")</f>
        <v/>
      </c>
      <c r="H74" s="147" t="str">
        <f>IF(OR(Measure_62443_3_3[[#This Row],[Requirement Selected (Prefulfilled + Mitigating)]]="X",Measure_62443_3_3[[#This Row],[Relevance revoked]]="Yes"),"X","")</f>
        <v/>
      </c>
      <c r="I74" s="148" t="str">
        <f>IF(VLOOKUP(Measure_62443_3_3[[#This Row],[FR]],'SL-T'!$A$5:$B$11,2,FALSE)&gt;=Measure_62443_3_3[[#This Row],[lowest SL-T]],"X","")</f>
        <v/>
      </c>
      <c r="J74" s="160" t="s">
        <v>90</v>
      </c>
      <c r="K74" s="161"/>
      <c r="L74" s="162" t="s">
        <v>9</v>
      </c>
      <c r="M74" s="162" t="s">
        <v>9</v>
      </c>
      <c r="N74" s="162" t="s">
        <v>9</v>
      </c>
      <c r="O74" s="162" t="s">
        <v>9</v>
      </c>
      <c r="P74" s="162" t="s">
        <v>9</v>
      </c>
      <c r="Q74" s="162" t="s">
        <v>9</v>
      </c>
      <c r="R74" s="162" t="s">
        <v>9</v>
      </c>
      <c r="S74" s="162" t="s">
        <v>9</v>
      </c>
      <c r="T74" s="162" t="s">
        <v>9</v>
      </c>
      <c r="U74" s="162" t="s">
        <v>9</v>
      </c>
      <c r="V74" s="162" t="s">
        <v>9</v>
      </c>
      <c r="W74" s="162" t="s">
        <v>9</v>
      </c>
      <c r="X74" s="162" t="s">
        <v>9</v>
      </c>
      <c r="Y74" s="162" t="s">
        <v>9</v>
      </c>
      <c r="Z74" s="162" t="s">
        <v>9</v>
      </c>
      <c r="AA74" s="162" t="s">
        <v>9</v>
      </c>
      <c r="AB74" s="162" t="s">
        <v>9</v>
      </c>
      <c r="AC74" s="162" t="s">
        <v>9</v>
      </c>
      <c r="AD74" s="162" t="s">
        <v>9</v>
      </c>
      <c r="AE74" s="162" t="s">
        <v>9</v>
      </c>
      <c r="AF74" s="162" t="s">
        <v>9</v>
      </c>
      <c r="AG74" s="162" t="s">
        <v>9</v>
      </c>
      <c r="AH74" s="162" t="s">
        <v>9</v>
      </c>
      <c r="AI74" s="162" t="s">
        <v>9</v>
      </c>
      <c r="AJ74" s="162" t="s">
        <v>9</v>
      </c>
      <c r="AK74" s="162" t="s">
        <v>9</v>
      </c>
      <c r="AL74" s="162" t="s">
        <v>9</v>
      </c>
      <c r="AM74" s="162" t="s">
        <v>9</v>
      </c>
      <c r="AN74" s="162" t="s">
        <v>9</v>
      </c>
      <c r="AO74" s="162" t="s">
        <v>9</v>
      </c>
      <c r="AP74" s="162" t="s">
        <v>9</v>
      </c>
      <c r="AQ74" s="162" t="s">
        <v>9</v>
      </c>
      <c r="AR74" s="162" t="s">
        <v>9</v>
      </c>
      <c r="AS74" s="162" t="s">
        <v>9</v>
      </c>
      <c r="AT74" s="162" t="s">
        <v>9</v>
      </c>
      <c r="AU74" s="162" t="s">
        <v>9</v>
      </c>
      <c r="AV74" s="162" t="s">
        <v>9</v>
      </c>
      <c r="AW74" s="162" t="s">
        <v>9</v>
      </c>
      <c r="AX74" s="162" t="s">
        <v>9</v>
      </c>
      <c r="AY74" s="162" t="s">
        <v>9</v>
      </c>
      <c r="AZ74" s="162" t="s">
        <v>9</v>
      </c>
      <c r="BA74" s="162" t="s">
        <v>9</v>
      </c>
      <c r="BB74" s="162" t="s">
        <v>9</v>
      </c>
      <c r="BC74" s="162" t="s">
        <v>9</v>
      </c>
      <c r="BD74" s="162" t="s">
        <v>9</v>
      </c>
      <c r="BE74" s="162" t="s">
        <v>9</v>
      </c>
      <c r="BF74" s="162" t="s">
        <v>9</v>
      </c>
      <c r="BG74" s="162" t="s">
        <v>9</v>
      </c>
      <c r="BH74" s="162" t="s">
        <v>9</v>
      </c>
      <c r="BI74" s="162" t="s">
        <v>9</v>
      </c>
      <c r="BJ74" s="162" t="s">
        <v>9</v>
      </c>
      <c r="BK74" s="162" t="s">
        <v>9</v>
      </c>
      <c r="BL74" s="162" t="s">
        <v>9</v>
      </c>
      <c r="BM74" s="162" t="s">
        <v>9</v>
      </c>
      <c r="BN74" s="162" t="s">
        <v>9</v>
      </c>
      <c r="BO74" s="162" t="s">
        <v>9</v>
      </c>
      <c r="BP74" s="162" t="s">
        <v>9</v>
      </c>
      <c r="BQ74" s="162" t="s">
        <v>9</v>
      </c>
      <c r="BR74" s="162" t="s">
        <v>9</v>
      </c>
      <c r="BS74" s="194"/>
    </row>
    <row r="75" spans="1:71" hidden="1">
      <c r="A75" s="145" t="s">
        <v>245</v>
      </c>
      <c r="B75" s="145" t="s">
        <v>50</v>
      </c>
      <c r="C75" s="145">
        <v>3</v>
      </c>
      <c r="D75" s="146" t="s">
        <v>607</v>
      </c>
      <c r="E75" s="147" t="str">
        <f>IF(COUNTIF(Measure_62443_3_3[[#This Row],[G 0.13 Interception of Compromising Interference Signals]:[OPS.1.1.3.8 Manipulation of data and tools during patch and change management]],"P")&gt;0,"X","")</f>
        <v/>
      </c>
      <c r="F75" s="147" t="str">
        <f>IF(OR(Measure_62443_3_3[[#This Row],[Requirement Selected (Prefulfilled)]]="X",Measure_62443_3_3[[#This Row],[Relevance revoked]]="Yes"),"X","")</f>
        <v/>
      </c>
      <c r="G75" s="147" t="str">
        <f>IF(COUNTIF(Measure_62443_3_3[[#This Row],[G 0.13 Interception of Compromising Interference Signals]:[OPS.1.1.3.8 Manipulation of data and tools during patch and change management]],"P")&gt;0,"X","")</f>
        <v/>
      </c>
      <c r="H75" s="147" t="str">
        <f>IF(OR(Measure_62443_3_3[[#This Row],[Requirement Selected (Prefulfilled + Mitigating)]]="X",Measure_62443_3_3[[#This Row],[Relevance revoked]]="Yes"),"X","")</f>
        <v/>
      </c>
      <c r="I75" s="148" t="str">
        <f>IF(VLOOKUP(Measure_62443_3_3[[#This Row],[FR]],'SL-T'!$A$5:$B$11,2,FALSE)&gt;=Measure_62443_3_3[[#This Row],[lowest SL-T]],"X","")</f>
        <v/>
      </c>
      <c r="J75" s="160" t="s">
        <v>90</v>
      </c>
      <c r="K75" s="161"/>
      <c r="L75" s="162" t="s">
        <v>9</v>
      </c>
      <c r="M75" s="162" t="s">
        <v>9</v>
      </c>
      <c r="N75" s="162" t="s">
        <v>9</v>
      </c>
      <c r="O75" s="162" t="s">
        <v>9</v>
      </c>
      <c r="P75" s="162" t="s">
        <v>9</v>
      </c>
      <c r="Q75" s="162" t="s">
        <v>9</v>
      </c>
      <c r="R75" s="162" t="s">
        <v>9</v>
      </c>
      <c r="S75" s="162" t="s">
        <v>9</v>
      </c>
      <c r="T75" s="162" t="s">
        <v>9</v>
      </c>
      <c r="U75" s="162" t="s">
        <v>9</v>
      </c>
      <c r="V75" s="162" t="s">
        <v>9</v>
      </c>
      <c r="W75" s="162" t="s">
        <v>9</v>
      </c>
      <c r="X75" s="162" t="s">
        <v>9</v>
      </c>
      <c r="Y75" s="162" t="s">
        <v>9</v>
      </c>
      <c r="Z75" s="162" t="s">
        <v>9</v>
      </c>
      <c r="AA75" s="162" t="s">
        <v>9</v>
      </c>
      <c r="AB75" s="162" t="s">
        <v>9</v>
      </c>
      <c r="AC75" s="162" t="s">
        <v>9</v>
      </c>
      <c r="AD75" s="162" t="s">
        <v>9</v>
      </c>
      <c r="AE75" s="162" t="s">
        <v>9</v>
      </c>
      <c r="AF75" s="162" t="s">
        <v>9</v>
      </c>
      <c r="AG75" s="162" t="s">
        <v>9</v>
      </c>
      <c r="AH75" s="162" t="s">
        <v>9</v>
      </c>
      <c r="AI75" s="162" t="s">
        <v>9</v>
      </c>
      <c r="AJ75" s="162" t="s">
        <v>9</v>
      </c>
      <c r="AK75" s="162" t="s">
        <v>9</v>
      </c>
      <c r="AL75" s="162" t="s">
        <v>9</v>
      </c>
      <c r="AM75" s="162" t="s">
        <v>9</v>
      </c>
      <c r="AN75" s="162" t="s">
        <v>9</v>
      </c>
      <c r="AO75" s="162" t="s">
        <v>9</v>
      </c>
      <c r="AP75" s="162" t="s">
        <v>9</v>
      </c>
      <c r="AQ75" s="162" t="s">
        <v>9</v>
      </c>
      <c r="AR75" s="162" t="s">
        <v>9</v>
      </c>
      <c r="AS75" s="162" t="s">
        <v>9</v>
      </c>
      <c r="AT75" s="162" t="s">
        <v>9</v>
      </c>
      <c r="AU75" s="162" t="s">
        <v>9</v>
      </c>
      <c r="AV75" s="162" t="s">
        <v>9</v>
      </c>
      <c r="AW75" s="162" t="s">
        <v>9</v>
      </c>
      <c r="AX75" s="162" t="s">
        <v>9</v>
      </c>
      <c r="AY75" s="162" t="s">
        <v>9</v>
      </c>
      <c r="AZ75" s="162" t="s">
        <v>9</v>
      </c>
      <c r="BA75" s="162" t="s">
        <v>9</v>
      </c>
      <c r="BB75" s="162" t="s">
        <v>9</v>
      </c>
      <c r="BC75" s="162" t="s">
        <v>9</v>
      </c>
      <c r="BD75" s="162" t="s">
        <v>9</v>
      </c>
      <c r="BE75" s="162" t="s">
        <v>9</v>
      </c>
      <c r="BF75" s="162" t="s">
        <v>9</v>
      </c>
      <c r="BG75" s="162" t="s">
        <v>9</v>
      </c>
      <c r="BH75" s="162" t="s">
        <v>9</v>
      </c>
      <c r="BI75" s="162" t="s">
        <v>9</v>
      </c>
      <c r="BJ75" s="162" t="s">
        <v>9</v>
      </c>
      <c r="BK75" s="162" t="s">
        <v>9</v>
      </c>
      <c r="BL75" s="162" t="s">
        <v>9</v>
      </c>
      <c r="BM75" s="162" t="s">
        <v>9</v>
      </c>
      <c r="BN75" s="162" t="s">
        <v>9</v>
      </c>
      <c r="BO75" s="162" t="s">
        <v>9</v>
      </c>
      <c r="BP75" s="162" t="s">
        <v>9</v>
      </c>
      <c r="BQ75" s="162" t="s">
        <v>9</v>
      </c>
      <c r="BR75" s="162" t="s">
        <v>9</v>
      </c>
      <c r="BS75" s="194"/>
    </row>
    <row r="76" spans="1:71">
      <c r="A76" s="145" t="s">
        <v>246</v>
      </c>
      <c r="B76" s="145" t="s">
        <v>50</v>
      </c>
      <c r="C76" s="145">
        <v>1</v>
      </c>
      <c r="D76" s="146" t="s">
        <v>607</v>
      </c>
      <c r="E76" s="147" t="str">
        <f>IF(COUNTIF(Measure_62443_3_3[[#This Row],[G 0.13 Interception of Compromising Interference Signals]:[OPS.1.1.3.8 Manipulation of data and tools during patch and change management]],"P")&gt;0,"X","")</f>
        <v/>
      </c>
      <c r="F76" s="147" t="str">
        <f>IF(OR(Measure_62443_3_3[[#This Row],[Requirement Selected (Prefulfilled)]]="X",Measure_62443_3_3[[#This Row],[Relevance revoked]]="Yes"),"X","")</f>
        <v/>
      </c>
      <c r="G76" s="147" t="str">
        <f>IF(COUNTIF(Measure_62443_3_3[[#This Row],[G 0.13 Interception of Compromising Interference Signals]:[OPS.1.1.3.8 Manipulation of data and tools during patch and change management]],"P")&gt;0,"X","")</f>
        <v/>
      </c>
      <c r="H76" s="147" t="str">
        <f>IF(OR(Measure_62443_3_3[[#This Row],[Requirement Selected (Prefulfilled + Mitigating)]]="X",Measure_62443_3_3[[#This Row],[Relevance revoked]]="Yes"),"X","")</f>
        <v/>
      </c>
      <c r="I76" s="148" t="str">
        <f>IF(VLOOKUP(Measure_62443_3_3[[#This Row],[FR]],'SL-T'!$A$5:$B$11,2,FALSE)&gt;=Measure_62443_3_3[[#This Row],[lowest SL-T]],"X","")</f>
        <v>X</v>
      </c>
      <c r="J76" s="160" t="s">
        <v>90</v>
      </c>
      <c r="K76" s="161"/>
      <c r="L76" s="162" t="s">
        <v>9</v>
      </c>
      <c r="M76" s="162" t="s">
        <v>9</v>
      </c>
      <c r="N76" s="162" t="s">
        <v>9</v>
      </c>
      <c r="O76" s="162" t="s">
        <v>9</v>
      </c>
      <c r="P76" s="162" t="s">
        <v>9</v>
      </c>
      <c r="Q76" s="162" t="s">
        <v>9</v>
      </c>
      <c r="R76" s="162" t="s">
        <v>9</v>
      </c>
      <c r="S76" s="162" t="s">
        <v>9</v>
      </c>
      <c r="T76" s="162" t="s">
        <v>9</v>
      </c>
      <c r="U76" s="162" t="s">
        <v>9</v>
      </c>
      <c r="V76" s="162" t="s">
        <v>9</v>
      </c>
      <c r="W76" s="162" t="s">
        <v>9</v>
      </c>
      <c r="X76" s="162" t="s">
        <v>9</v>
      </c>
      <c r="Y76" s="162" t="s">
        <v>9</v>
      </c>
      <c r="Z76" s="162" t="s">
        <v>9</v>
      </c>
      <c r="AA76" s="162" t="s">
        <v>9</v>
      </c>
      <c r="AB76" s="162" t="s">
        <v>9</v>
      </c>
      <c r="AC76" s="162" t="s">
        <v>9</v>
      </c>
      <c r="AD76" s="162" t="s">
        <v>9</v>
      </c>
      <c r="AE76" s="162" t="s">
        <v>9</v>
      </c>
      <c r="AF76" s="162" t="s">
        <v>9</v>
      </c>
      <c r="AG76" s="162" t="s">
        <v>9</v>
      </c>
      <c r="AH76" s="162" t="s">
        <v>9</v>
      </c>
      <c r="AI76" s="162" t="s">
        <v>9</v>
      </c>
      <c r="AJ76" s="162" t="s">
        <v>9</v>
      </c>
      <c r="AK76" s="162" t="s">
        <v>9</v>
      </c>
      <c r="AL76" s="162" t="s">
        <v>9</v>
      </c>
      <c r="AM76" s="162" t="s">
        <v>9</v>
      </c>
      <c r="AN76" s="162" t="s">
        <v>9</v>
      </c>
      <c r="AO76" s="162" t="s">
        <v>9</v>
      </c>
      <c r="AP76" s="162" t="s">
        <v>9</v>
      </c>
      <c r="AQ76" s="162" t="s">
        <v>9</v>
      </c>
      <c r="AR76" s="162" t="s">
        <v>9</v>
      </c>
      <c r="AS76" s="162" t="s">
        <v>9</v>
      </c>
      <c r="AT76" s="162" t="s">
        <v>9</v>
      </c>
      <c r="AU76" s="162" t="s">
        <v>9</v>
      </c>
      <c r="AV76" s="162" t="s">
        <v>9</v>
      </c>
      <c r="AW76" s="162" t="s">
        <v>9</v>
      </c>
      <c r="AX76" s="162" t="s">
        <v>9</v>
      </c>
      <c r="AY76" s="162" t="s">
        <v>9</v>
      </c>
      <c r="AZ76" s="162" t="s">
        <v>9</v>
      </c>
      <c r="BA76" s="162" t="s">
        <v>9</v>
      </c>
      <c r="BB76" s="162" t="s">
        <v>9</v>
      </c>
      <c r="BC76" s="162" t="s">
        <v>9</v>
      </c>
      <c r="BD76" s="162" t="s">
        <v>9</v>
      </c>
      <c r="BE76" s="162" t="s">
        <v>9</v>
      </c>
      <c r="BF76" s="162" t="s">
        <v>9</v>
      </c>
      <c r="BG76" s="162" t="s">
        <v>9</v>
      </c>
      <c r="BH76" s="162" t="s">
        <v>9</v>
      </c>
      <c r="BI76" s="162" t="s">
        <v>9</v>
      </c>
      <c r="BJ76" s="162" t="s">
        <v>9</v>
      </c>
      <c r="BK76" s="162" t="s">
        <v>9</v>
      </c>
      <c r="BL76" s="162" t="s">
        <v>9</v>
      </c>
      <c r="BM76" s="162" t="s">
        <v>9</v>
      </c>
      <c r="BN76" s="162" t="s">
        <v>9</v>
      </c>
      <c r="BO76" s="162" t="s">
        <v>9</v>
      </c>
      <c r="BP76" s="162" t="s">
        <v>9</v>
      </c>
      <c r="BQ76" s="162" t="s">
        <v>9</v>
      </c>
      <c r="BR76" s="162" t="s">
        <v>9</v>
      </c>
      <c r="BS76" s="194"/>
    </row>
    <row r="77" spans="1:71">
      <c r="A77" s="145" t="s">
        <v>247</v>
      </c>
      <c r="B77" s="145" t="s">
        <v>51</v>
      </c>
      <c r="C77" s="145">
        <v>1</v>
      </c>
      <c r="D77" s="146" t="s">
        <v>607</v>
      </c>
      <c r="E77" s="147" t="str">
        <f>IF(COUNTIF(Measure_62443_3_3[[#This Row],[G 0.13 Interception of Compromising Interference Signals]:[OPS.1.1.3.8 Manipulation of data and tools during patch and change management]],"P")&gt;0,"X","")</f>
        <v/>
      </c>
      <c r="F77" s="147" t="str">
        <f>IF(OR(Measure_62443_3_3[[#This Row],[Requirement Selected (Prefulfilled)]]="X",Measure_62443_3_3[[#This Row],[Relevance revoked]]="Yes"),"X","")</f>
        <v/>
      </c>
      <c r="G77" s="147" t="str">
        <f>IF(COUNTIF(Measure_62443_3_3[[#This Row],[G 0.13 Interception of Compromising Interference Signals]:[OPS.1.1.3.8 Manipulation of data and tools during patch and change management]],"P")&gt;0,"X","")</f>
        <v/>
      </c>
      <c r="H77" s="147" t="str">
        <f>IF(OR(Measure_62443_3_3[[#This Row],[Requirement Selected (Prefulfilled + Mitigating)]]="X",Measure_62443_3_3[[#This Row],[Relevance revoked]]="Yes"),"X","")</f>
        <v/>
      </c>
      <c r="I77" s="148" t="str">
        <f>IF(VLOOKUP(Measure_62443_3_3[[#This Row],[FR]],'SL-T'!$A$5:$B$11,2,FALSE)&gt;=Measure_62443_3_3[[#This Row],[lowest SL-T]],"X","")</f>
        <v>X</v>
      </c>
      <c r="J77" s="160" t="s">
        <v>90</v>
      </c>
      <c r="K77" s="161"/>
      <c r="L77" s="162" t="s">
        <v>9</v>
      </c>
      <c r="M77" s="162" t="s">
        <v>9</v>
      </c>
      <c r="N77" s="162" t="s">
        <v>9</v>
      </c>
      <c r="O77" s="162" t="s">
        <v>9</v>
      </c>
      <c r="P77" s="162" t="s">
        <v>9</v>
      </c>
      <c r="Q77" s="162" t="s">
        <v>9</v>
      </c>
      <c r="R77" s="162" t="s">
        <v>9</v>
      </c>
      <c r="S77" s="162" t="s">
        <v>9</v>
      </c>
      <c r="T77" s="162" t="s">
        <v>9</v>
      </c>
      <c r="U77" s="162" t="s">
        <v>9</v>
      </c>
      <c r="V77" s="162" t="s">
        <v>9</v>
      </c>
      <c r="W77" s="162" t="s">
        <v>9</v>
      </c>
      <c r="X77" s="162" t="s">
        <v>9</v>
      </c>
      <c r="Y77" s="162" t="s">
        <v>9</v>
      </c>
      <c r="Z77" s="162" t="s">
        <v>9</v>
      </c>
      <c r="AA77" s="162" t="s">
        <v>9</v>
      </c>
      <c r="AB77" s="162" t="s">
        <v>9</v>
      </c>
      <c r="AC77" s="162" t="s">
        <v>9</v>
      </c>
      <c r="AD77" s="162" t="s">
        <v>9</v>
      </c>
      <c r="AE77" s="162" t="s">
        <v>9</v>
      </c>
      <c r="AF77" s="162" t="s">
        <v>9</v>
      </c>
      <c r="AG77" s="162" t="s">
        <v>9</v>
      </c>
      <c r="AH77" s="162" t="s">
        <v>9</v>
      </c>
      <c r="AI77" s="162" t="s">
        <v>9</v>
      </c>
      <c r="AJ77" s="162" t="s">
        <v>9</v>
      </c>
      <c r="AK77" s="162" t="s">
        <v>9</v>
      </c>
      <c r="AL77" s="162" t="s">
        <v>9</v>
      </c>
      <c r="AM77" s="162" t="s">
        <v>9</v>
      </c>
      <c r="AN77" s="162" t="s">
        <v>9</v>
      </c>
      <c r="AO77" s="162" t="s">
        <v>9</v>
      </c>
      <c r="AP77" s="162" t="s">
        <v>9</v>
      </c>
      <c r="AQ77" s="162" t="s">
        <v>9</v>
      </c>
      <c r="AR77" s="162" t="s">
        <v>9</v>
      </c>
      <c r="AS77" s="162" t="s">
        <v>9</v>
      </c>
      <c r="AT77" s="162" t="s">
        <v>9</v>
      </c>
      <c r="AU77" s="162" t="s">
        <v>9</v>
      </c>
      <c r="AV77" s="162" t="s">
        <v>9</v>
      </c>
      <c r="AW77" s="162" t="s">
        <v>9</v>
      </c>
      <c r="AX77" s="162" t="s">
        <v>9</v>
      </c>
      <c r="AY77" s="162" t="s">
        <v>9</v>
      </c>
      <c r="AZ77" s="162" t="s">
        <v>9</v>
      </c>
      <c r="BA77" s="162" t="s">
        <v>9</v>
      </c>
      <c r="BB77" s="162" t="s">
        <v>9</v>
      </c>
      <c r="BC77" s="162" t="s">
        <v>9</v>
      </c>
      <c r="BD77" s="162" t="s">
        <v>9</v>
      </c>
      <c r="BE77" s="162" t="s">
        <v>9</v>
      </c>
      <c r="BF77" s="162" t="s">
        <v>9</v>
      </c>
      <c r="BG77" s="162" t="s">
        <v>9</v>
      </c>
      <c r="BH77" s="162" t="s">
        <v>9</v>
      </c>
      <c r="BI77" s="162" t="s">
        <v>9</v>
      </c>
      <c r="BJ77" s="162" t="s">
        <v>9</v>
      </c>
      <c r="BK77" s="162" t="s">
        <v>9</v>
      </c>
      <c r="BL77" s="162" t="s">
        <v>9</v>
      </c>
      <c r="BM77" s="162" t="s">
        <v>9</v>
      </c>
      <c r="BN77" s="162" t="s">
        <v>9</v>
      </c>
      <c r="BO77" s="162" t="s">
        <v>9</v>
      </c>
      <c r="BP77" s="162" t="s">
        <v>9</v>
      </c>
      <c r="BQ77" s="162" t="s">
        <v>9</v>
      </c>
      <c r="BR77" s="162" t="s">
        <v>9</v>
      </c>
      <c r="BS77" s="194"/>
    </row>
    <row r="78" spans="1:71" hidden="1">
      <c r="A78" s="145" t="s">
        <v>248</v>
      </c>
      <c r="B78" s="145" t="s">
        <v>51</v>
      </c>
      <c r="C78" s="145">
        <v>2</v>
      </c>
      <c r="D78" s="146" t="s">
        <v>607</v>
      </c>
      <c r="E78" s="147" t="str">
        <f>IF(COUNTIF(Measure_62443_3_3[[#This Row],[G 0.13 Interception of Compromising Interference Signals]:[OPS.1.1.3.8 Manipulation of data and tools during patch and change management]],"P")&gt;0,"X","")</f>
        <v/>
      </c>
      <c r="F78" s="147" t="str">
        <f>IF(OR(Measure_62443_3_3[[#This Row],[Requirement Selected (Prefulfilled)]]="X",Measure_62443_3_3[[#This Row],[Relevance revoked]]="Yes"),"X","")</f>
        <v/>
      </c>
      <c r="G78" s="147" t="str">
        <f>IF(COUNTIF(Measure_62443_3_3[[#This Row],[G 0.13 Interception of Compromising Interference Signals]:[OPS.1.1.3.8 Manipulation of data and tools during patch and change management]],"P")&gt;0,"X","")</f>
        <v/>
      </c>
      <c r="H78" s="147" t="str">
        <f>IF(OR(Measure_62443_3_3[[#This Row],[Requirement Selected (Prefulfilled + Mitigating)]]="X",Measure_62443_3_3[[#This Row],[Relevance revoked]]="Yes"),"X","")</f>
        <v/>
      </c>
      <c r="I78" s="148" t="str">
        <f>IF(VLOOKUP(Measure_62443_3_3[[#This Row],[FR]],'SL-T'!$A$5:$B$11,2,FALSE)&gt;=Measure_62443_3_3[[#This Row],[lowest SL-T]],"X","")</f>
        <v/>
      </c>
      <c r="J78" s="160" t="s">
        <v>90</v>
      </c>
      <c r="K78" s="161"/>
      <c r="L78" s="162" t="s">
        <v>9</v>
      </c>
      <c r="M78" s="162" t="s">
        <v>9</v>
      </c>
      <c r="N78" s="162" t="s">
        <v>9</v>
      </c>
      <c r="O78" s="162" t="s">
        <v>9</v>
      </c>
      <c r="P78" s="162" t="s">
        <v>9</v>
      </c>
      <c r="Q78" s="162" t="s">
        <v>9</v>
      </c>
      <c r="R78" s="162" t="s">
        <v>9</v>
      </c>
      <c r="S78" s="162" t="s">
        <v>9</v>
      </c>
      <c r="T78" s="162" t="s">
        <v>9</v>
      </c>
      <c r="U78" s="162" t="s">
        <v>9</v>
      </c>
      <c r="V78" s="162" t="s">
        <v>9</v>
      </c>
      <c r="W78" s="162" t="s">
        <v>9</v>
      </c>
      <c r="X78" s="162" t="s">
        <v>9</v>
      </c>
      <c r="Y78" s="162" t="s">
        <v>9</v>
      </c>
      <c r="Z78" s="162" t="s">
        <v>9</v>
      </c>
      <c r="AA78" s="162" t="s">
        <v>9</v>
      </c>
      <c r="AB78" s="162" t="s">
        <v>9</v>
      </c>
      <c r="AC78" s="162" t="s">
        <v>9</v>
      </c>
      <c r="AD78" s="162" t="s">
        <v>9</v>
      </c>
      <c r="AE78" s="162" t="s">
        <v>9</v>
      </c>
      <c r="AF78" s="162" t="s">
        <v>9</v>
      </c>
      <c r="AG78" s="162" t="s">
        <v>9</v>
      </c>
      <c r="AH78" s="162" t="s">
        <v>9</v>
      </c>
      <c r="AI78" s="162" t="s">
        <v>9</v>
      </c>
      <c r="AJ78" s="162" t="s">
        <v>9</v>
      </c>
      <c r="AK78" s="162" t="s">
        <v>9</v>
      </c>
      <c r="AL78" s="162" t="s">
        <v>9</v>
      </c>
      <c r="AM78" s="162" t="s">
        <v>9</v>
      </c>
      <c r="AN78" s="162" t="s">
        <v>9</v>
      </c>
      <c r="AO78" s="162" t="s">
        <v>9</v>
      </c>
      <c r="AP78" s="162" t="s">
        <v>9</v>
      </c>
      <c r="AQ78" s="162" t="s">
        <v>9</v>
      </c>
      <c r="AR78" s="162" t="s">
        <v>9</v>
      </c>
      <c r="AS78" s="162" t="s">
        <v>9</v>
      </c>
      <c r="AT78" s="162" t="s">
        <v>9</v>
      </c>
      <c r="AU78" s="162" t="s">
        <v>9</v>
      </c>
      <c r="AV78" s="162" t="s">
        <v>9</v>
      </c>
      <c r="AW78" s="162" t="s">
        <v>9</v>
      </c>
      <c r="AX78" s="162" t="s">
        <v>9</v>
      </c>
      <c r="AY78" s="162" t="s">
        <v>9</v>
      </c>
      <c r="AZ78" s="162" t="s">
        <v>9</v>
      </c>
      <c r="BA78" s="162" t="s">
        <v>9</v>
      </c>
      <c r="BB78" s="162" t="s">
        <v>9</v>
      </c>
      <c r="BC78" s="162" t="s">
        <v>9</v>
      </c>
      <c r="BD78" s="162" t="s">
        <v>9</v>
      </c>
      <c r="BE78" s="162" t="s">
        <v>9</v>
      </c>
      <c r="BF78" s="162" t="s">
        <v>9</v>
      </c>
      <c r="BG78" s="162" t="s">
        <v>9</v>
      </c>
      <c r="BH78" s="162" t="s">
        <v>9</v>
      </c>
      <c r="BI78" s="162" t="s">
        <v>9</v>
      </c>
      <c r="BJ78" s="162" t="s">
        <v>9</v>
      </c>
      <c r="BK78" s="162" t="s">
        <v>9</v>
      </c>
      <c r="BL78" s="162" t="s">
        <v>9</v>
      </c>
      <c r="BM78" s="162" t="s">
        <v>9</v>
      </c>
      <c r="BN78" s="162" t="s">
        <v>9</v>
      </c>
      <c r="BO78" s="162" t="s">
        <v>9</v>
      </c>
      <c r="BP78" s="162" t="s">
        <v>9</v>
      </c>
      <c r="BQ78" s="162" t="s">
        <v>9</v>
      </c>
      <c r="BR78" s="162" t="s">
        <v>9</v>
      </c>
      <c r="BS78" s="194"/>
    </row>
    <row r="79" spans="1:71" ht="57.6" hidden="1" customHeight="1">
      <c r="A79" s="145" t="s">
        <v>249</v>
      </c>
      <c r="B79" s="145" t="s">
        <v>51</v>
      </c>
      <c r="C79" s="145">
        <v>3</v>
      </c>
      <c r="D79" s="146" t="s">
        <v>607</v>
      </c>
      <c r="E79" s="147" t="str">
        <f>IF(COUNTIF(Measure_62443_3_3[[#This Row],[G 0.13 Interception of Compromising Interference Signals]:[OPS.1.1.3.8 Manipulation of data and tools during patch and change management]],"P")&gt;0,"X","")</f>
        <v/>
      </c>
      <c r="F79" s="147" t="str">
        <f>IF(OR(Measure_62443_3_3[[#This Row],[Requirement Selected (Prefulfilled)]]="X",Measure_62443_3_3[[#This Row],[Relevance revoked]]="Yes"),"X","")</f>
        <v/>
      </c>
      <c r="G79" s="147" t="str">
        <f>IF(COUNTIF(Measure_62443_3_3[[#This Row],[G 0.13 Interception of Compromising Interference Signals]:[OPS.1.1.3.8 Manipulation of data and tools during patch and change management]],"P")&gt;0,"X","")</f>
        <v/>
      </c>
      <c r="H79" s="147" t="str">
        <f>IF(OR(Measure_62443_3_3[[#This Row],[Requirement Selected (Prefulfilled + Mitigating)]]="X",Measure_62443_3_3[[#This Row],[Relevance revoked]]="Yes"),"X","")</f>
        <v/>
      </c>
      <c r="I79" s="148" t="str">
        <f>IF(VLOOKUP(Measure_62443_3_3[[#This Row],[FR]],'SL-T'!$A$5:$B$11,2,FALSE)&gt;=Measure_62443_3_3[[#This Row],[lowest SL-T]],"X","")</f>
        <v/>
      </c>
      <c r="J79" s="160" t="s">
        <v>90</v>
      </c>
      <c r="K79" s="161"/>
      <c r="L79" s="162" t="s">
        <v>9</v>
      </c>
      <c r="M79" s="162" t="s">
        <v>9</v>
      </c>
      <c r="N79" s="162" t="s">
        <v>9</v>
      </c>
      <c r="O79" s="162" t="s">
        <v>9</v>
      </c>
      <c r="P79" s="162" t="s">
        <v>9</v>
      </c>
      <c r="Q79" s="162" t="s">
        <v>9</v>
      </c>
      <c r="R79" s="162" t="s">
        <v>9</v>
      </c>
      <c r="S79" s="162" t="s">
        <v>9</v>
      </c>
      <c r="T79" s="162" t="s">
        <v>9</v>
      </c>
      <c r="U79" s="162" t="s">
        <v>9</v>
      </c>
      <c r="V79" s="162" t="s">
        <v>9</v>
      </c>
      <c r="W79" s="162" t="s">
        <v>9</v>
      </c>
      <c r="X79" s="162" t="s">
        <v>9</v>
      </c>
      <c r="Y79" s="162" t="s">
        <v>9</v>
      </c>
      <c r="Z79" s="162" t="s">
        <v>9</v>
      </c>
      <c r="AA79" s="162" t="s">
        <v>9</v>
      </c>
      <c r="AB79" s="162" t="s">
        <v>9</v>
      </c>
      <c r="AC79" s="162" t="s">
        <v>9</v>
      </c>
      <c r="AD79" s="162" t="s">
        <v>9</v>
      </c>
      <c r="AE79" s="162" t="s">
        <v>9</v>
      </c>
      <c r="AF79" s="162" t="s">
        <v>9</v>
      </c>
      <c r="AG79" s="162" t="s">
        <v>9</v>
      </c>
      <c r="AH79" s="162" t="s">
        <v>9</v>
      </c>
      <c r="AI79" s="162" t="s">
        <v>9</v>
      </c>
      <c r="AJ79" s="162" t="s">
        <v>9</v>
      </c>
      <c r="AK79" s="162" t="s">
        <v>9</v>
      </c>
      <c r="AL79" s="162" t="s">
        <v>9</v>
      </c>
      <c r="AM79" s="162" t="s">
        <v>9</v>
      </c>
      <c r="AN79" s="162" t="s">
        <v>9</v>
      </c>
      <c r="AO79" s="162" t="s">
        <v>9</v>
      </c>
      <c r="AP79" s="162" t="s">
        <v>9</v>
      </c>
      <c r="AQ79" s="162" t="s">
        <v>9</v>
      </c>
      <c r="AR79" s="162" t="s">
        <v>9</v>
      </c>
      <c r="AS79" s="162" t="s">
        <v>9</v>
      </c>
      <c r="AT79" s="162" t="s">
        <v>9</v>
      </c>
      <c r="AU79" s="162" t="s">
        <v>9</v>
      </c>
      <c r="AV79" s="162" t="s">
        <v>9</v>
      </c>
      <c r="AW79" s="162" t="s">
        <v>9</v>
      </c>
      <c r="AX79" s="162" t="s">
        <v>9</v>
      </c>
      <c r="AY79" s="162" t="s">
        <v>9</v>
      </c>
      <c r="AZ79" s="162" t="s">
        <v>9</v>
      </c>
      <c r="BA79" s="162" t="s">
        <v>9</v>
      </c>
      <c r="BB79" s="162" t="s">
        <v>9</v>
      </c>
      <c r="BC79" s="162" t="s">
        <v>9</v>
      </c>
      <c r="BD79" s="162" t="s">
        <v>9</v>
      </c>
      <c r="BE79" s="162" t="s">
        <v>9</v>
      </c>
      <c r="BF79" s="162" t="s">
        <v>9</v>
      </c>
      <c r="BG79" s="162" t="s">
        <v>9</v>
      </c>
      <c r="BH79" s="162" t="s">
        <v>9</v>
      </c>
      <c r="BI79" s="162" t="s">
        <v>9</v>
      </c>
      <c r="BJ79" s="162" t="s">
        <v>9</v>
      </c>
      <c r="BK79" s="162" t="s">
        <v>9</v>
      </c>
      <c r="BL79" s="162" t="s">
        <v>9</v>
      </c>
      <c r="BM79" s="162" t="s">
        <v>9</v>
      </c>
      <c r="BN79" s="162" t="s">
        <v>9</v>
      </c>
      <c r="BO79" s="162" t="s">
        <v>9</v>
      </c>
      <c r="BP79" s="162" t="s">
        <v>9</v>
      </c>
      <c r="BQ79" s="162" t="s">
        <v>9</v>
      </c>
      <c r="BR79" s="162" t="s">
        <v>9</v>
      </c>
      <c r="BS79" s="194"/>
    </row>
    <row r="80" spans="1:71" ht="43.2" hidden="1" customHeight="1">
      <c r="A80" s="145" t="s">
        <v>250</v>
      </c>
      <c r="B80" s="145" t="s">
        <v>51</v>
      </c>
      <c r="C80" s="145">
        <v>4</v>
      </c>
      <c r="D80" s="146" t="s">
        <v>607</v>
      </c>
      <c r="E80" s="147" t="str">
        <f>IF(COUNTIF(Measure_62443_3_3[[#This Row],[G 0.13 Interception of Compromising Interference Signals]:[OPS.1.1.3.8 Manipulation of data and tools during patch and change management]],"P")&gt;0,"X","")</f>
        <v/>
      </c>
      <c r="F80" s="147" t="str">
        <f>IF(OR(Measure_62443_3_3[[#This Row],[Requirement Selected (Prefulfilled)]]="X",Measure_62443_3_3[[#This Row],[Relevance revoked]]="Yes"),"X","")</f>
        <v/>
      </c>
      <c r="G80" s="147" t="str">
        <f>IF(COUNTIF(Measure_62443_3_3[[#This Row],[G 0.13 Interception of Compromising Interference Signals]:[OPS.1.1.3.8 Manipulation of data and tools during patch and change management]],"P")&gt;0,"X","")</f>
        <v/>
      </c>
      <c r="H80" s="147" t="str">
        <f>IF(OR(Measure_62443_3_3[[#This Row],[Requirement Selected (Prefulfilled + Mitigating)]]="X",Measure_62443_3_3[[#This Row],[Relevance revoked]]="Yes"),"X","")</f>
        <v/>
      </c>
      <c r="I80" s="148" t="str">
        <f>IF(VLOOKUP(Measure_62443_3_3[[#This Row],[FR]],'SL-T'!$A$5:$B$11,2,FALSE)&gt;=Measure_62443_3_3[[#This Row],[lowest SL-T]],"X","")</f>
        <v/>
      </c>
      <c r="J80" s="160" t="s">
        <v>90</v>
      </c>
      <c r="K80" s="161"/>
      <c r="L80" s="162" t="s">
        <v>9</v>
      </c>
      <c r="M80" s="162" t="s">
        <v>9</v>
      </c>
      <c r="N80" s="162" t="s">
        <v>9</v>
      </c>
      <c r="O80" s="162" t="s">
        <v>9</v>
      </c>
      <c r="P80" s="162" t="s">
        <v>9</v>
      </c>
      <c r="Q80" s="162" t="s">
        <v>9</v>
      </c>
      <c r="R80" s="162" t="s">
        <v>9</v>
      </c>
      <c r="S80" s="162" t="s">
        <v>9</v>
      </c>
      <c r="T80" s="162" t="s">
        <v>9</v>
      </c>
      <c r="U80" s="162" t="s">
        <v>9</v>
      </c>
      <c r="V80" s="162" t="s">
        <v>9</v>
      </c>
      <c r="W80" s="162" t="s">
        <v>9</v>
      </c>
      <c r="X80" s="162" t="s">
        <v>9</v>
      </c>
      <c r="Y80" s="162" t="s">
        <v>9</v>
      </c>
      <c r="Z80" s="162" t="s">
        <v>9</v>
      </c>
      <c r="AA80" s="162" t="s">
        <v>9</v>
      </c>
      <c r="AB80" s="162" t="s">
        <v>9</v>
      </c>
      <c r="AC80" s="162" t="s">
        <v>9</v>
      </c>
      <c r="AD80" s="162" t="s">
        <v>9</v>
      </c>
      <c r="AE80" s="162" t="s">
        <v>9</v>
      </c>
      <c r="AF80" s="162" t="s">
        <v>9</v>
      </c>
      <c r="AG80" s="162" t="s">
        <v>9</v>
      </c>
      <c r="AH80" s="162" t="s">
        <v>9</v>
      </c>
      <c r="AI80" s="162" t="s">
        <v>9</v>
      </c>
      <c r="AJ80" s="162" t="s">
        <v>9</v>
      </c>
      <c r="AK80" s="162" t="s">
        <v>9</v>
      </c>
      <c r="AL80" s="162" t="s">
        <v>9</v>
      </c>
      <c r="AM80" s="162" t="s">
        <v>9</v>
      </c>
      <c r="AN80" s="162" t="s">
        <v>9</v>
      </c>
      <c r="AO80" s="162" t="s">
        <v>9</v>
      </c>
      <c r="AP80" s="162" t="s">
        <v>9</v>
      </c>
      <c r="AQ80" s="162" t="s">
        <v>9</v>
      </c>
      <c r="AR80" s="162" t="s">
        <v>9</v>
      </c>
      <c r="AS80" s="162" t="s">
        <v>9</v>
      </c>
      <c r="AT80" s="162" t="s">
        <v>9</v>
      </c>
      <c r="AU80" s="162" t="s">
        <v>9</v>
      </c>
      <c r="AV80" s="162" t="s">
        <v>9</v>
      </c>
      <c r="AW80" s="162" t="s">
        <v>9</v>
      </c>
      <c r="AX80" s="162" t="s">
        <v>9</v>
      </c>
      <c r="AY80" s="162" t="s">
        <v>9</v>
      </c>
      <c r="AZ80" s="162" t="s">
        <v>9</v>
      </c>
      <c r="BA80" s="162" t="s">
        <v>9</v>
      </c>
      <c r="BB80" s="162" t="s">
        <v>9</v>
      </c>
      <c r="BC80" s="162" t="s">
        <v>9</v>
      </c>
      <c r="BD80" s="162" t="s">
        <v>9</v>
      </c>
      <c r="BE80" s="162" t="s">
        <v>9</v>
      </c>
      <c r="BF80" s="162" t="s">
        <v>9</v>
      </c>
      <c r="BG80" s="162" t="s">
        <v>9</v>
      </c>
      <c r="BH80" s="162" t="s">
        <v>9</v>
      </c>
      <c r="BI80" s="162" t="s">
        <v>9</v>
      </c>
      <c r="BJ80" s="162" t="s">
        <v>9</v>
      </c>
      <c r="BK80" s="162" t="s">
        <v>9</v>
      </c>
      <c r="BL80" s="162" t="s">
        <v>9</v>
      </c>
      <c r="BM80" s="162" t="s">
        <v>9</v>
      </c>
      <c r="BN80" s="162" t="s">
        <v>9</v>
      </c>
      <c r="BO80" s="162" t="s">
        <v>9</v>
      </c>
      <c r="BP80" s="162" t="s">
        <v>9</v>
      </c>
      <c r="BQ80" s="162" t="s">
        <v>9</v>
      </c>
      <c r="BR80" s="162" t="s">
        <v>9</v>
      </c>
      <c r="BS80" s="194"/>
    </row>
    <row r="81" spans="1:71">
      <c r="A81" s="145" t="s">
        <v>251</v>
      </c>
      <c r="B81" s="145" t="s">
        <v>51</v>
      </c>
      <c r="C81" s="145">
        <v>1</v>
      </c>
      <c r="D81" s="146" t="s">
        <v>607</v>
      </c>
      <c r="E81" s="147" t="str">
        <f>IF(COUNTIF(Measure_62443_3_3[[#This Row],[G 0.13 Interception of Compromising Interference Signals]:[OPS.1.1.3.8 Manipulation of data and tools during patch and change management]],"P")&gt;0,"X","")</f>
        <v/>
      </c>
      <c r="F81" s="147" t="str">
        <f>IF(OR(Measure_62443_3_3[[#This Row],[Requirement Selected (Prefulfilled)]]="X",Measure_62443_3_3[[#This Row],[Relevance revoked]]="Yes"),"X","")</f>
        <v/>
      </c>
      <c r="G81" s="147" t="str">
        <f>IF(COUNTIF(Measure_62443_3_3[[#This Row],[G 0.13 Interception of Compromising Interference Signals]:[OPS.1.1.3.8 Manipulation of data and tools during patch and change management]],"P")&gt;0,"X","")</f>
        <v/>
      </c>
      <c r="H81" s="147" t="str">
        <f>IF(OR(Measure_62443_3_3[[#This Row],[Requirement Selected (Prefulfilled + Mitigating)]]="X",Measure_62443_3_3[[#This Row],[Relevance revoked]]="Yes"),"X","")</f>
        <v/>
      </c>
      <c r="I81" s="148" t="str">
        <f>IF(VLOOKUP(Measure_62443_3_3[[#This Row],[FR]],'SL-T'!$A$5:$B$11,2,FALSE)&gt;=Measure_62443_3_3[[#This Row],[lowest SL-T]],"X","")</f>
        <v>X</v>
      </c>
      <c r="J81" s="160" t="s">
        <v>90</v>
      </c>
      <c r="K81" s="161"/>
      <c r="L81" s="162" t="s">
        <v>9</v>
      </c>
      <c r="M81" s="162" t="s">
        <v>9</v>
      </c>
      <c r="N81" s="162" t="s">
        <v>9</v>
      </c>
      <c r="O81" s="162" t="s">
        <v>9</v>
      </c>
      <c r="P81" s="162" t="s">
        <v>9</v>
      </c>
      <c r="Q81" s="162" t="s">
        <v>9</v>
      </c>
      <c r="R81" s="162" t="s">
        <v>9</v>
      </c>
      <c r="S81" s="162" t="s">
        <v>9</v>
      </c>
      <c r="T81" s="162" t="s">
        <v>9</v>
      </c>
      <c r="U81" s="162" t="s">
        <v>9</v>
      </c>
      <c r="V81" s="162" t="s">
        <v>9</v>
      </c>
      <c r="W81" s="162" t="s">
        <v>9</v>
      </c>
      <c r="X81" s="162" t="s">
        <v>9</v>
      </c>
      <c r="Y81" s="162" t="s">
        <v>9</v>
      </c>
      <c r="Z81" s="162" t="s">
        <v>9</v>
      </c>
      <c r="AA81" s="162" t="s">
        <v>9</v>
      </c>
      <c r="AB81" s="162" t="s">
        <v>9</v>
      </c>
      <c r="AC81" s="162" t="s">
        <v>9</v>
      </c>
      <c r="AD81" s="162" t="s">
        <v>9</v>
      </c>
      <c r="AE81" s="162" t="s">
        <v>9</v>
      </c>
      <c r="AF81" s="162" t="s">
        <v>9</v>
      </c>
      <c r="AG81" s="162" t="s">
        <v>9</v>
      </c>
      <c r="AH81" s="162" t="s">
        <v>9</v>
      </c>
      <c r="AI81" s="162" t="s">
        <v>9</v>
      </c>
      <c r="AJ81" s="162" t="s">
        <v>9</v>
      </c>
      <c r="AK81" s="162" t="s">
        <v>9</v>
      </c>
      <c r="AL81" s="162" t="s">
        <v>9</v>
      </c>
      <c r="AM81" s="162" t="s">
        <v>9</v>
      </c>
      <c r="AN81" s="162" t="s">
        <v>9</v>
      </c>
      <c r="AO81" s="162" t="s">
        <v>9</v>
      </c>
      <c r="AP81" s="162" t="s">
        <v>9</v>
      </c>
      <c r="AQ81" s="162" t="s">
        <v>9</v>
      </c>
      <c r="AR81" s="162" t="s">
        <v>9</v>
      </c>
      <c r="AS81" s="162" t="s">
        <v>9</v>
      </c>
      <c r="AT81" s="162" t="s">
        <v>9</v>
      </c>
      <c r="AU81" s="162" t="s">
        <v>9</v>
      </c>
      <c r="AV81" s="162" t="s">
        <v>9</v>
      </c>
      <c r="AW81" s="162" t="s">
        <v>9</v>
      </c>
      <c r="AX81" s="162" t="s">
        <v>9</v>
      </c>
      <c r="AY81" s="162" t="s">
        <v>9</v>
      </c>
      <c r="AZ81" s="162" t="s">
        <v>9</v>
      </c>
      <c r="BA81" s="162" t="s">
        <v>9</v>
      </c>
      <c r="BB81" s="162" t="s">
        <v>9</v>
      </c>
      <c r="BC81" s="162" t="s">
        <v>9</v>
      </c>
      <c r="BD81" s="162" t="s">
        <v>9</v>
      </c>
      <c r="BE81" s="162" t="s">
        <v>9</v>
      </c>
      <c r="BF81" s="162" t="s">
        <v>9</v>
      </c>
      <c r="BG81" s="162" t="s">
        <v>9</v>
      </c>
      <c r="BH81" s="162" t="s">
        <v>9</v>
      </c>
      <c r="BI81" s="162" t="s">
        <v>9</v>
      </c>
      <c r="BJ81" s="162" t="s">
        <v>9</v>
      </c>
      <c r="BK81" s="162" t="s">
        <v>9</v>
      </c>
      <c r="BL81" s="162" t="s">
        <v>9</v>
      </c>
      <c r="BM81" s="162" t="s">
        <v>9</v>
      </c>
      <c r="BN81" s="162" t="s">
        <v>9</v>
      </c>
      <c r="BO81" s="162" t="s">
        <v>9</v>
      </c>
      <c r="BP81" s="162" t="s">
        <v>9</v>
      </c>
      <c r="BQ81" s="162" t="s">
        <v>9</v>
      </c>
      <c r="BR81" s="162" t="s">
        <v>9</v>
      </c>
      <c r="BS81" s="194"/>
    </row>
    <row r="82" spans="1:71" hidden="1">
      <c r="A82" s="145" t="s">
        <v>252</v>
      </c>
      <c r="B82" s="145" t="s">
        <v>51</v>
      </c>
      <c r="C82" s="145">
        <v>2</v>
      </c>
      <c r="D82" s="146" t="s">
        <v>607</v>
      </c>
      <c r="E82" s="147" t="str">
        <f>IF(COUNTIF(Measure_62443_3_3[[#This Row],[G 0.13 Interception of Compromising Interference Signals]:[OPS.1.1.3.8 Manipulation of data and tools during patch and change management]],"P")&gt;0,"X","")</f>
        <v/>
      </c>
      <c r="F82" s="147" t="str">
        <f>IF(OR(Measure_62443_3_3[[#This Row],[Requirement Selected (Prefulfilled)]]="X",Measure_62443_3_3[[#This Row],[Relevance revoked]]="Yes"),"X","")</f>
        <v/>
      </c>
      <c r="G82" s="147" t="str">
        <f>IF(COUNTIF(Measure_62443_3_3[[#This Row],[G 0.13 Interception of Compromising Interference Signals]:[OPS.1.1.3.8 Manipulation of data and tools during patch and change management]],"P")&gt;0,"X","")</f>
        <v/>
      </c>
      <c r="H82" s="147" t="str">
        <f>IF(OR(Measure_62443_3_3[[#This Row],[Requirement Selected (Prefulfilled + Mitigating)]]="X",Measure_62443_3_3[[#This Row],[Relevance revoked]]="Yes"),"X","")</f>
        <v/>
      </c>
      <c r="I82" s="148" t="str">
        <f>IF(VLOOKUP(Measure_62443_3_3[[#This Row],[FR]],'SL-T'!$A$5:$B$11,2,FALSE)&gt;=Measure_62443_3_3[[#This Row],[lowest SL-T]],"X","")</f>
        <v/>
      </c>
      <c r="J82" s="160" t="s">
        <v>90</v>
      </c>
      <c r="K82" s="161"/>
      <c r="L82" s="162" t="s">
        <v>9</v>
      </c>
      <c r="M82" s="162" t="s">
        <v>9</v>
      </c>
      <c r="N82" s="162" t="s">
        <v>9</v>
      </c>
      <c r="O82" s="162" t="s">
        <v>9</v>
      </c>
      <c r="P82" s="162" t="s">
        <v>9</v>
      </c>
      <c r="Q82" s="162" t="s">
        <v>9</v>
      </c>
      <c r="R82" s="162" t="s">
        <v>9</v>
      </c>
      <c r="S82" s="162" t="s">
        <v>9</v>
      </c>
      <c r="T82" s="162" t="s">
        <v>9</v>
      </c>
      <c r="U82" s="162" t="s">
        <v>9</v>
      </c>
      <c r="V82" s="162" t="s">
        <v>9</v>
      </c>
      <c r="W82" s="162" t="s">
        <v>9</v>
      </c>
      <c r="X82" s="162" t="s">
        <v>9</v>
      </c>
      <c r="Y82" s="162" t="s">
        <v>9</v>
      </c>
      <c r="Z82" s="162" t="s">
        <v>9</v>
      </c>
      <c r="AA82" s="162" t="s">
        <v>9</v>
      </c>
      <c r="AB82" s="162" t="s">
        <v>9</v>
      </c>
      <c r="AC82" s="162" t="s">
        <v>9</v>
      </c>
      <c r="AD82" s="162" t="s">
        <v>9</v>
      </c>
      <c r="AE82" s="162" t="s">
        <v>9</v>
      </c>
      <c r="AF82" s="162" t="s">
        <v>9</v>
      </c>
      <c r="AG82" s="162" t="s">
        <v>9</v>
      </c>
      <c r="AH82" s="162" t="s">
        <v>9</v>
      </c>
      <c r="AI82" s="162" t="s">
        <v>9</v>
      </c>
      <c r="AJ82" s="162" t="s">
        <v>9</v>
      </c>
      <c r="AK82" s="162" t="s">
        <v>9</v>
      </c>
      <c r="AL82" s="162" t="s">
        <v>9</v>
      </c>
      <c r="AM82" s="162" t="s">
        <v>9</v>
      </c>
      <c r="AN82" s="162" t="s">
        <v>9</v>
      </c>
      <c r="AO82" s="162" t="s">
        <v>9</v>
      </c>
      <c r="AP82" s="162" t="s">
        <v>9</v>
      </c>
      <c r="AQ82" s="162" t="s">
        <v>9</v>
      </c>
      <c r="AR82" s="162" t="s">
        <v>9</v>
      </c>
      <c r="AS82" s="162" t="s">
        <v>9</v>
      </c>
      <c r="AT82" s="162" t="s">
        <v>9</v>
      </c>
      <c r="AU82" s="162" t="s">
        <v>9</v>
      </c>
      <c r="AV82" s="162" t="s">
        <v>9</v>
      </c>
      <c r="AW82" s="162" t="s">
        <v>9</v>
      </c>
      <c r="AX82" s="162" t="s">
        <v>9</v>
      </c>
      <c r="AY82" s="162" t="s">
        <v>9</v>
      </c>
      <c r="AZ82" s="162" t="s">
        <v>9</v>
      </c>
      <c r="BA82" s="162" t="s">
        <v>9</v>
      </c>
      <c r="BB82" s="162" t="s">
        <v>9</v>
      </c>
      <c r="BC82" s="162" t="s">
        <v>9</v>
      </c>
      <c r="BD82" s="162" t="s">
        <v>9</v>
      </c>
      <c r="BE82" s="162" t="s">
        <v>9</v>
      </c>
      <c r="BF82" s="162" t="s">
        <v>9</v>
      </c>
      <c r="BG82" s="162" t="s">
        <v>9</v>
      </c>
      <c r="BH82" s="162" t="s">
        <v>9</v>
      </c>
      <c r="BI82" s="162" t="s">
        <v>9</v>
      </c>
      <c r="BJ82" s="162" t="s">
        <v>9</v>
      </c>
      <c r="BK82" s="162" t="s">
        <v>9</v>
      </c>
      <c r="BL82" s="162" t="s">
        <v>9</v>
      </c>
      <c r="BM82" s="162" t="s">
        <v>9</v>
      </c>
      <c r="BN82" s="162" t="s">
        <v>9</v>
      </c>
      <c r="BO82" s="162" t="s">
        <v>9</v>
      </c>
      <c r="BP82" s="162" t="s">
        <v>9</v>
      </c>
      <c r="BQ82" s="162" t="s">
        <v>9</v>
      </c>
      <c r="BR82" s="162" t="s">
        <v>9</v>
      </c>
      <c r="BS82" s="194"/>
    </row>
    <row r="83" spans="1:71" hidden="1">
      <c r="A83" s="145" t="s">
        <v>253</v>
      </c>
      <c r="B83" s="145" t="s">
        <v>51</v>
      </c>
      <c r="C83" s="145">
        <v>3</v>
      </c>
      <c r="D83" s="146" t="s">
        <v>607</v>
      </c>
      <c r="E83" s="147" t="str">
        <f>IF(COUNTIF(Measure_62443_3_3[[#This Row],[G 0.13 Interception of Compromising Interference Signals]:[OPS.1.1.3.8 Manipulation of data and tools during patch and change management]],"P")&gt;0,"X","")</f>
        <v/>
      </c>
      <c r="F83" s="147" t="str">
        <f>IF(OR(Measure_62443_3_3[[#This Row],[Requirement Selected (Prefulfilled)]]="X",Measure_62443_3_3[[#This Row],[Relevance revoked]]="Yes"),"X","")</f>
        <v/>
      </c>
      <c r="G83" s="147" t="str">
        <f>IF(COUNTIF(Measure_62443_3_3[[#This Row],[G 0.13 Interception of Compromising Interference Signals]:[OPS.1.1.3.8 Manipulation of data and tools during patch and change management]],"P")&gt;0,"X","")</f>
        <v/>
      </c>
      <c r="H83" s="147" t="str">
        <f>IF(OR(Measure_62443_3_3[[#This Row],[Requirement Selected (Prefulfilled + Mitigating)]]="X",Measure_62443_3_3[[#This Row],[Relevance revoked]]="Yes"),"X","")</f>
        <v/>
      </c>
      <c r="I83" s="148" t="str">
        <f>IF(VLOOKUP(Measure_62443_3_3[[#This Row],[FR]],'SL-T'!$A$5:$B$11,2,FALSE)&gt;=Measure_62443_3_3[[#This Row],[lowest SL-T]],"X","")</f>
        <v/>
      </c>
      <c r="J83" s="160" t="s">
        <v>90</v>
      </c>
      <c r="K83" s="161"/>
      <c r="L83" s="162" t="s">
        <v>9</v>
      </c>
      <c r="M83" s="162" t="s">
        <v>9</v>
      </c>
      <c r="N83" s="162" t="s">
        <v>9</v>
      </c>
      <c r="O83" s="162" t="s">
        <v>9</v>
      </c>
      <c r="P83" s="162" t="s">
        <v>9</v>
      </c>
      <c r="Q83" s="162" t="s">
        <v>9</v>
      </c>
      <c r="R83" s="162" t="s">
        <v>9</v>
      </c>
      <c r="S83" s="162" t="s">
        <v>9</v>
      </c>
      <c r="T83" s="162" t="s">
        <v>9</v>
      </c>
      <c r="U83" s="162" t="s">
        <v>9</v>
      </c>
      <c r="V83" s="162" t="s">
        <v>9</v>
      </c>
      <c r="W83" s="162" t="s">
        <v>9</v>
      </c>
      <c r="X83" s="162" t="s">
        <v>9</v>
      </c>
      <c r="Y83" s="162" t="s">
        <v>9</v>
      </c>
      <c r="Z83" s="162" t="s">
        <v>9</v>
      </c>
      <c r="AA83" s="162" t="s">
        <v>9</v>
      </c>
      <c r="AB83" s="162" t="s">
        <v>9</v>
      </c>
      <c r="AC83" s="162" t="s">
        <v>9</v>
      </c>
      <c r="AD83" s="162" t="s">
        <v>9</v>
      </c>
      <c r="AE83" s="162" t="s">
        <v>9</v>
      </c>
      <c r="AF83" s="162" t="s">
        <v>9</v>
      </c>
      <c r="AG83" s="162" t="s">
        <v>9</v>
      </c>
      <c r="AH83" s="162" t="s">
        <v>9</v>
      </c>
      <c r="AI83" s="162" t="s">
        <v>9</v>
      </c>
      <c r="AJ83" s="162" t="s">
        <v>9</v>
      </c>
      <c r="AK83" s="162" t="s">
        <v>9</v>
      </c>
      <c r="AL83" s="162" t="s">
        <v>9</v>
      </c>
      <c r="AM83" s="162" t="s">
        <v>9</v>
      </c>
      <c r="AN83" s="162" t="s">
        <v>9</v>
      </c>
      <c r="AO83" s="162" t="s">
        <v>9</v>
      </c>
      <c r="AP83" s="162" t="s">
        <v>9</v>
      </c>
      <c r="AQ83" s="162" t="s">
        <v>9</v>
      </c>
      <c r="AR83" s="162" t="s">
        <v>9</v>
      </c>
      <c r="AS83" s="162" t="s">
        <v>9</v>
      </c>
      <c r="AT83" s="162" t="s">
        <v>9</v>
      </c>
      <c r="AU83" s="162" t="s">
        <v>9</v>
      </c>
      <c r="AV83" s="162" t="s">
        <v>9</v>
      </c>
      <c r="AW83" s="162" t="s">
        <v>9</v>
      </c>
      <c r="AX83" s="162" t="s">
        <v>9</v>
      </c>
      <c r="AY83" s="162" t="s">
        <v>9</v>
      </c>
      <c r="AZ83" s="162" t="s">
        <v>9</v>
      </c>
      <c r="BA83" s="162" t="s">
        <v>9</v>
      </c>
      <c r="BB83" s="162" t="s">
        <v>9</v>
      </c>
      <c r="BC83" s="162" t="s">
        <v>9</v>
      </c>
      <c r="BD83" s="162" t="s">
        <v>9</v>
      </c>
      <c r="BE83" s="162" t="s">
        <v>9</v>
      </c>
      <c r="BF83" s="162" t="s">
        <v>9</v>
      </c>
      <c r="BG83" s="162" t="s">
        <v>9</v>
      </c>
      <c r="BH83" s="162" t="s">
        <v>9</v>
      </c>
      <c r="BI83" s="162" t="s">
        <v>9</v>
      </c>
      <c r="BJ83" s="162" t="s">
        <v>9</v>
      </c>
      <c r="BK83" s="162" t="s">
        <v>9</v>
      </c>
      <c r="BL83" s="162" t="s">
        <v>9</v>
      </c>
      <c r="BM83" s="162" t="s">
        <v>9</v>
      </c>
      <c r="BN83" s="162" t="s">
        <v>9</v>
      </c>
      <c r="BO83" s="162" t="s">
        <v>9</v>
      </c>
      <c r="BP83" s="162" t="s">
        <v>9</v>
      </c>
      <c r="BQ83" s="162" t="s">
        <v>9</v>
      </c>
      <c r="BR83" s="162" t="s">
        <v>9</v>
      </c>
      <c r="BS83" s="194"/>
    </row>
    <row r="84" spans="1:71" hidden="1">
      <c r="A84" s="145" t="s">
        <v>254</v>
      </c>
      <c r="B84" s="145" t="s">
        <v>51</v>
      </c>
      <c r="C84" s="145">
        <v>3</v>
      </c>
      <c r="D84" s="146" t="s">
        <v>607</v>
      </c>
      <c r="E84" s="147" t="str">
        <f>IF(COUNTIF(Measure_62443_3_3[[#This Row],[G 0.13 Interception of Compromising Interference Signals]:[OPS.1.1.3.8 Manipulation of data and tools during patch and change management]],"P")&gt;0,"X","")</f>
        <v/>
      </c>
      <c r="F84" s="147" t="str">
        <f>IF(OR(Measure_62443_3_3[[#This Row],[Requirement Selected (Prefulfilled)]]="X",Measure_62443_3_3[[#This Row],[Relevance revoked]]="Yes"),"X","")</f>
        <v/>
      </c>
      <c r="G84" s="147" t="str">
        <f>IF(COUNTIF(Measure_62443_3_3[[#This Row],[G 0.13 Interception of Compromising Interference Signals]:[OPS.1.1.3.8 Manipulation of data and tools during patch and change management]],"P")&gt;0,"X","")</f>
        <v/>
      </c>
      <c r="H84" s="147" t="str">
        <f>IF(OR(Measure_62443_3_3[[#This Row],[Requirement Selected (Prefulfilled + Mitigating)]]="X",Measure_62443_3_3[[#This Row],[Relevance revoked]]="Yes"),"X","")</f>
        <v/>
      </c>
      <c r="I84" s="148" t="str">
        <f>IF(VLOOKUP(Measure_62443_3_3[[#This Row],[FR]],'SL-T'!$A$5:$B$11,2,FALSE)&gt;=Measure_62443_3_3[[#This Row],[lowest SL-T]],"X","")</f>
        <v/>
      </c>
      <c r="J84" s="160" t="s">
        <v>90</v>
      </c>
      <c r="K84" s="161"/>
      <c r="L84" s="162" t="s">
        <v>9</v>
      </c>
      <c r="M84" s="162" t="s">
        <v>9</v>
      </c>
      <c r="N84" s="162" t="s">
        <v>9</v>
      </c>
      <c r="O84" s="162" t="s">
        <v>9</v>
      </c>
      <c r="P84" s="162" t="s">
        <v>9</v>
      </c>
      <c r="Q84" s="162" t="s">
        <v>9</v>
      </c>
      <c r="R84" s="162" t="s">
        <v>9</v>
      </c>
      <c r="S84" s="162" t="s">
        <v>9</v>
      </c>
      <c r="T84" s="162" t="s">
        <v>9</v>
      </c>
      <c r="U84" s="162" t="s">
        <v>9</v>
      </c>
      <c r="V84" s="162" t="s">
        <v>9</v>
      </c>
      <c r="W84" s="162" t="s">
        <v>9</v>
      </c>
      <c r="X84" s="162" t="s">
        <v>9</v>
      </c>
      <c r="Y84" s="162" t="s">
        <v>9</v>
      </c>
      <c r="Z84" s="162" t="s">
        <v>9</v>
      </c>
      <c r="AA84" s="162" t="s">
        <v>9</v>
      </c>
      <c r="AB84" s="162" t="s">
        <v>9</v>
      </c>
      <c r="AC84" s="162" t="s">
        <v>9</v>
      </c>
      <c r="AD84" s="162" t="s">
        <v>9</v>
      </c>
      <c r="AE84" s="162" t="s">
        <v>9</v>
      </c>
      <c r="AF84" s="162" t="s">
        <v>9</v>
      </c>
      <c r="AG84" s="162" t="s">
        <v>9</v>
      </c>
      <c r="AH84" s="162" t="s">
        <v>9</v>
      </c>
      <c r="AI84" s="162" t="s">
        <v>9</v>
      </c>
      <c r="AJ84" s="162" t="s">
        <v>9</v>
      </c>
      <c r="AK84" s="162" t="s">
        <v>9</v>
      </c>
      <c r="AL84" s="162" t="s">
        <v>9</v>
      </c>
      <c r="AM84" s="162" t="s">
        <v>9</v>
      </c>
      <c r="AN84" s="162" t="s">
        <v>9</v>
      </c>
      <c r="AO84" s="162" t="s">
        <v>9</v>
      </c>
      <c r="AP84" s="162" t="s">
        <v>9</v>
      </c>
      <c r="AQ84" s="162" t="s">
        <v>9</v>
      </c>
      <c r="AR84" s="162" t="s">
        <v>9</v>
      </c>
      <c r="AS84" s="162" t="s">
        <v>9</v>
      </c>
      <c r="AT84" s="162" t="s">
        <v>9</v>
      </c>
      <c r="AU84" s="162" t="s">
        <v>9</v>
      </c>
      <c r="AV84" s="162" t="s">
        <v>9</v>
      </c>
      <c r="AW84" s="162" t="s">
        <v>9</v>
      </c>
      <c r="AX84" s="162" t="s">
        <v>9</v>
      </c>
      <c r="AY84" s="162" t="s">
        <v>9</v>
      </c>
      <c r="AZ84" s="162" t="s">
        <v>9</v>
      </c>
      <c r="BA84" s="162" t="s">
        <v>9</v>
      </c>
      <c r="BB84" s="162" t="s">
        <v>9</v>
      </c>
      <c r="BC84" s="162" t="s">
        <v>9</v>
      </c>
      <c r="BD84" s="162" t="s">
        <v>9</v>
      </c>
      <c r="BE84" s="162" t="s">
        <v>9</v>
      </c>
      <c r="BF84" s="162" t="s">
        <v>9</v>
      </c>
      <c r="BG84" s="162" t="s">
        <v>9</v>
      </c>
      <c r="BH84" s="162" t="s">
        <v>9</v>
      </c>
      <c r="BI84" s="162" t="s">
        <v>9</v>
      </c>
      <c r="BJ84" s="162" t="s">
        <v>9</v>
      </c>
      <c r="BK84" s="162" t="s">
        <v>9</v>
      </c>
      <c r="BL84" s="162" t="s">
        <v>9</v>
      </c>
      <c r="BM84" s="162" t="s">
        <v>9</v>
      </c>
      <c r="BN84" s="162" t="s">
        <v>9</v>
      </c>
      <c r="BO84" s="162" t="s">
        <v>9</v>
      </c>
      <c r="BP84" s="162" t="s">
        <v>9</v>
      </c>
      <c r="BQ84" s="162" t="s">
        <v>9</v>
      </c>
      <c r="BR84" s="162" t="s">
        <v>9</v>
      </c>
      <c r="BS84" s="194"/>
    </row>
    <row r="85" spans="1:71">
      <c r="A85" s="145" t="s">
        <v>255</v>
      </c>
      <c r="B85" s="145" t="s">
        <v>51</v>
      </c>
      <c r="C85" s="145">
        <v>1</v>
      </c>
      <c r="D85" s="146" t="s">
        <v>607</v>
      </c>
      <c r="E85" s="147" t="str">
        <f>IF(COUNTIF(Measure_62443_3_3[[#This Row],[G 0.13 Interception of Compromising Interference Signals]:[OPS.1.1.3.8 Manipulation of data and tools during patch and change management]],"P")&gt;0,"X","")</f>
        <v/>
      </c>
      <c r="F85" s="147" t="str">
        <f>IF(OR(Measure_62443_3_3[[#This Row],[Requirement Selected (Prefulfilled)]]="X",Measure_62443_3_3[[#This Row],[Relevance revoked]]="Yes"),"X","")</f>
        <v/>
      </c>
      <c r="G85" s="147" t="str">
        <f>IF(COUNTIF(Measure_62443_3_3[[#This Row],[G 0.13 Interception of Compromising Interference Signals]:[OPS.1.1.3.8 Manipulation of data and tools during patch and change management]],"P")&gt;0,"X","")</f>
        <v/>
      </c>
      <c r="H85" s="147" t="str">
        <f>IF(OR(Measure_62443_3_3[[#This Row],[Requirement Selected (Prefulfilled + Mitigating)]]="X",Measure_62443_3_3[[#This Row],[Relevance revoked]]="Yes"),"X","")</f>
        <v/>
      </c>
      <c r="I85" s="148" t="str">
        <f>IF(VLOOKUP(Measure_62443_3_3[[#This Row],[FR]],'SL-T'!$A$5:$B$11,2,FALSE)&gt;=Measure_62443_3_3[[#This Row],[lowest SL-T]],"X","")</f>
        <v>X</v>
      </c>
      <c r="J85" s="160" t="s">
        <v>90</v>
      </c>
      <c r="K85" s="161"/>
      <c r="L85" s="162" t="s">
        <v>9</v>
      </c>
      <c r="M85" s="162" t="s">
        <v>9</v>
      </c>
      <c r="N85" s="162" t="s">
        <v>9</v>
      </c>
      <c r="O85" s="162" t="s">
        <v>9</v>
      </c>
      <c r="P85" s="162" t="s">
        <v>9</v>
      </c>
      <c r="Q85" s="162" t="s">
        <v>9</v>
      </c>
      <c r="R85" s="162" t="s">
        <v>9</v>
      </c>
      <c r="S85" s="162" t="s">
        <v>9</v>
      </c>
      <c r="T85" s="162" t="s">
        <v>9</v>
      </c>
      <c r="U85" s="162" t="s">
        <v>9</v>
      </c>
      <c r="V85" s="162" t="s">
        <v>9</v>
      </c>
      <c r="W85" s="162" t="s">
        <v>9</v>
      </c>
      <c r="X85" s="162" t="s">
        <v>9</v>
      </c>
      <c r="Y85" s="162" t="s">
        <v>9</v>
      </c>
      <c r="Z85" s="162" t="s">
        <v>9</v>
      </c>
      <c r="AA85" s="162" t="s">
        <v>9</v>
      </c>
      <c r="AB85" s="162" t="s">
        <v>9</v>
      </c>
      <c r="AC85" s="162" t="s">
        <v>9</v>
      </c>
      <c r="AD85" s="162" t="s">
        <v>9</v>
      </c>
      <c r="AE85" s="162" t="s">
        <v>9</v>
      </c>
      <c r="AF85" s="162" t="s">
        <v>9</v>
      </c>
      <c r="AG85" s="162" t="s">
        <v>9</v>
      </c>
      <c r="AH85" s="162" t="s">
        <v>9</v>
      </c>
      <c r="AI85" s="162" t="s">
        <v>9</v>
      </c>
      <c r="AJ85" s="162" t="s">
        <v>9</v>
      </c>
      <c r="AK85" s="162" t="s">
        <v>9</v>
      </c>
      <c r="AL85" s="162" t="s">
        <v>9</v>
      </c>
      <c r="AM85" s="162" t="s">
        <v>9</v>
      </c>
      <c r="AN85" s="162" t="s">
        <v>9</v>
      </c>
      <c r="AO85" s="162" t="s">
        <v>9</v>
      </c>
      <c r="AP85" s="162" t="s">
        <v>9</v>
      </c>
      <c r="AQ85" s="162" t="s">
        <v>9</v>
      </c>
      <c r="AR85" s="162" t="s">
        <v>9</v>
      </c>
      <c r="AS85" s="162" t="s">
        <v>9</v>
      </c>
      <c r="AT85" s="162" t="s">
        <v>9</v>
      </c>
      <c r="AU85" s="162" t="s">
        <v>9</v>
      </c>
      <c r="AV85" s="162" t="s">
        <v>9</v>
      </c>
      <c r="AW85" s="162" t="s">
        <v>9</v>
      </c>
      <c r="AX85" s="162" t="s">
        <v>9</v>
      </c>
      <c r="AY85" s="162" t="s">
        <v>9</v>
      </c>
      <c r="AZ85" s="162" t="s">
        <v>9</v>
      </c>
      <c r="BA85" s="162" t="s">
        <v>9</v>
      </c>
      <c r="BB85" s="162" t="s">
        <v>9</v>
      </c>
      <c r="BC85" s="162" t="s">
        <v>9</v>
      </c>
      <c r="BD85" s="162" t="s">
        <v>9</v>
      </c>
      <c r="BE85" s="162" t="s">
        <v>9</v>
      </c>
      <c r="BF85" s="162" t="s">
        <v>9</v>
      </c>
      <c r="BG85" s="162" t="s">
        <v>9</v>
      </c>
      <c r="BH85" s="162" t="s">
        <v>9</v>
      </c>
      <c r="BI85" s="162" t="s">
        <v>9</v>
      </c>
      <c r="BJ85" s="162" t="s">
        <v>9</v>
      </c>
      <c r="BK85" s="162" t="s">
        <v>9</v>
      </c>
      <c r="BL85" s="162" t="s">
        <v>9</v>
      </c>
      <c r="BM85" s="162" t="s">
        <v>9</v>
      </c>
      <c r="BN85" s="162" t="s">
        <v>9</v>
      </c>
      <c r="BO85" s="162" t="s">
        <v>9</v>
      </c>
      <c r="BP85" s="162" t="s">
        <v>9</v>
      </c>
      <c r="BQ85" s="162" t="s">
        <v>9</v>
      </c>
      <c r="BR85" s="162" t="s">
        <v>9</v>
      </c>
      <c r="BS85" s="194"/>
    </row>
    <row r="86" spans="1:71" hidden="1">
      <c r="A86" s="145" t="s">
        <v>256</v>
      </c>
      <c r="B86" s="145" t="s">
        <v>51</v>
      </c>
      <c r="C86" s="145">
        <v>3</v>
      </c>
      <c r="D86" s="146" t="s">
        <v>607</v>
      </c>
      <c r="E86" s="147" t="str">
        <f>IF(COUNTIF(Measure_62443_3_3[[#This Row],[G 0.13 Interception of Compromising Interference Signals]:[OPS.1.1.3.8 Manipulation of data and tools during patch and change management]],"P")&gt;0,"X","")</f>
        <v/>
      </c>
      <c r="F86" s="147" t="str">
        <f>IF(OR(Measure_62443_3_3[[#This Row],[Requirement Selected (Prefulfilled)]]="X",Measure_62443_3_3[[#This Row],[Relevance revoked]]="Yes"),"X","")</f>
        <v/>
      </c>
      <c r="G86" s="147" t="str">
        <f>IF(COUNTIF(Measure_62443_3_3[[#This Row],[G 0.13 Interception of Compromising Interference Signals]:[OPS.1.1.3.8 Manipulation of data and tools during patch and change management]],"P")&gt;0,"X","")</f>
        <v/>
      </c>
      <c r="H86" s="147" t="str">
        <f>IF(OR(Measure_62443_3_3[[#This Row],[Requirement Selected (Prefulfilled + Mitigating)]]="X",Measure_62443_3_3[[#This Row],[Relevance revoked]]="Yes"),"X","")</f>
        <v/>
      </c>
      <c r="I86" s="148" t="str">
        <f>IF(VLOOKUP(Measure_62443_3_3[[#This Row],[FR]],'SL-T'!$A$5:$B$11,2,FALSE)&gt;=Measure_62443_3_3[[#This Row],[lowest SL-T]],"X","")</f>
        <v/>
      </c>
      <c r="J86" s="160" t="s">
        <v>90</v>
      </c>
      <c r="K86" s="161"/>
      <c r="L86" s="162" t="s">
        <v>9</v>
      </c>
      <c r="M86" s="162" t="s">
        <v>9</v>
      </c>
      <c r="N86" s="162" t="s">
        <v>9</v>
      </c>
      <c r="O86" s="162" t="s">
        <v>9</v>
      </c>
      <c r="P86" s="162" t="s">
        <v>9</v>
      </c>
      <c r="Q86" s="162" t="s">
        <v>9</v>
      </c>
      <c r="R86" s="162" t="s">
        <v>9</v>
      </c>
      <c r="S86" s="162" t="s">
        <v>9</v>
      </c>
      <c r="T86" s="162" t="s">
        <v>9</v>
      </c>
      <c r="U86" s="162" t="s">
        <v>9</v>
      </c>
      <c r="V86" s="162" t="s">
        <v>9</v>
      </c>
      <c r="W86" s="162" t="s">
        <v>9</v>
      </c>
      <c r="X86" s="162" t="s">
        <v>9</v>
      </c>
      <c r="Y86" s="162" t="s">
        <v>9</v>
      </c>
      <c r="Z86" s="162" t="s">
        <v>9</v>
      </c>
      <c r="AA86" s="162" t="s">
        <v>9</v>
      </c>
      <c r="AB86" s="162" t="s">
        <v>9</v>
      </c>
      <c r="AC86" s="162" t="s">
        <v>9</v>
      </c>
      <c r="AD86" s="162" t="s">
        <v>9</v>
      </c>
      <c r="AE86" s="162" t="s">
        <v>9</v>
      </c>
      <c r="AF86" s="162" t="s">
        <v>9</v>
      </c>
      <c r="AG86" s="162" t="s">
        <v>9</v>
      </c>
      <c r="AH86" s="162" t="s">
        <v>9</v>
      </c>
      <c r="AI86" s="162" t="s">
        <v>9</v>
      </c>
      <c r="AJ86" s="162" t="s">
        <v>9</v>
      </c>
      <c r="AK86" s="162" t="s">
        <v>9</v>
      </c>
      <c r="AL86" s="162" t="s">
        <v>9</v>
      </c>
      <c r="AM86" s="162" t="s">
        <v>9</v>
      </c>
      <c r="AN86" s="162" t="s">
        <v>9</v>
      </c>
      <c r="AO86" s="162" t="s">
        <v>9</v>
      </c>
      <c r="AP86" s="162" t="s">
        <v>9</v>
      </c>
      <c r="AQ86" s="162" t="s">
        <v>9</v>
      </c>
      <c r="AR86" s="162" t="s">
        <v>9</v>
      </c>
      <c r="AS86" s="162" t="s">
        <v>9</v>
      </c>
      <c r="AT86" s="162" t="s">
        <v>9</v>
      </c>
      <c r="AU86" s="162" t="s">
        <v>9</v>
      </c>
      <c r="AV86" s="162" t="s">
        <v>9</v>
      </c>
      <c r="AW86" s="162" t="s">
        <v>9</v>
      </c>
      <c r="AX86" s="162" t="s">
        <v>9</v>
      </c>
      <c r="AY86" s="162" t="s">
        <v>9</v>
      </c>
      <c r="AZ86" s="162" t="s">
        <v>9</v>
      </c>
      <c r="BA86" s="162" t="s">
        <v>9</v>
      </c>
      <c r="BB86" s="162" t="s">
        <v>9</v>
      </c>
      <c r="BC86" s="162" t="s">
        <v>9</v>
      </c>
      <c r="BD86" s="162" t="s">
        <v>9</v>
      </c>
      <c r="BE86" s="162" t="s">
        <v>9</v>
      </c>
      <c r="BF86" s="162" t="s">
        <v>9</v>
      </c>
      <c r="BG86" s="162" t="s">
        <v>9</v>
      </c>
      <c r="BH86" s="162" t="s">
        <v>9</v>
      </c>
      <c r="BI86" s="162" t="s">
        <v>9</v>
      </c>
      <c r="BJ86" s="162" t="s">
        <v>9</v>
      </c>
      <c r="BK86" s="162" t="s">
        <v>9</v>
      </c>
      <c r="BL86" s="162" t="s">
        <v>9</v>
      </c>
      <c r="BM86" s="162" t="s">
        <v>9</v>
      </c>
      <c r="BN86" s="162" t="s">
        <v>9</v>
      </c>
      <c r="BO86" s="162" t="s">
        <v>9</v>
      </c>
      <c r="BP86" s="162" t="s">
        <v>9</v>
      </c>
      <c r="BQ86" s="162" t="s">
        <v>9</v>
      </c>
      <c r="BR86" s="162" t="s">
        <v>9</v>
      </c>
      <c r="BS86" s="194"/>
    </row>
    <row r="87" spans="1:71">
      <c r="A87" s="145" t="s">
        <v>257</v>
      </c>
      <c r="B87" s="145" t="s">
        <v>51</v>
      </c>
      <c r="C87" s="145">
        <v>1</v>
      </c>
      <c r="D87" s="146" t="s">
        <v>607</v>
      </c>
      <c r="E87" s="147" t="str">
        <f>IF(COUNTIF(Measure_62443_3_3[[#This Row],[G 0.13 Interception of Compromising Interference Signals]:[OPS.1.1.3.8 Manipulation of data and tools during patch and change management]],"P")&gt;0,"X","")</f>
        <v/>
      </c>
      <c r="F87" s="147" t="str">
        <f>IF(OR(Measure_62443_3_3[[#This Row],[Requirement Selected (Prefulfilled)]]="X",Measure_62443_3_3[[#This Row],[Relevance revoked]]="Yes"),"X","")</f>
        <v/>
      </c>
      <c r="G87" s="147" t="str">
        <f>IF(COUNTIF(Measure_62443_3_3[[#This Row],[G 0.13 Interception of Compromising Interference Signals]:[OPS.1.1.3.8 Manipulation of data and tools during patch and change management]],"P")&gt;0,"X","")</f>
        <v/>
      </c>
      <c r="H87" s="147" t="str">
        <f>IF(OR(Measure_62443_3_3[[#This Row],[Requirement Selected (Prefulfilled + Mitigating)]]="X",Measure_62443_3_3[[#This Row],[Relevance revoked]]="Yes"),"X","")</f>
        <v/>
      </c>
      <c r="I87" s="148" t="str">
        <f>IF(VLOOKUP(Measure_62443_3_3[[#This Row],[FR]],'SL-T'!$A$5:$B$11,2,FALSE)&gt;=Measure_62443_3_3[[#This Row],[lowest SL-T]],"X","")</f>
        <v>X</v>
      </c>
      <c r="J87" s="160" t="s">
        <v>90</v>
      </c>
      <c r="K87" s="161"/>
      <c r="L87" s="162" t="s">
        <v>9</v>
      </c>
      <c r="M87" s="162" t="s">
        <v>9</v>
      </c>
      <c r="N87" s="162" t="s">
        <v>9</v>
      </c>
      <c r="O87" s="162" t="s">
        <v>9</v>
      </c>
      <c r="P87" s="162" t="s">
        <v>9</v>
      </c>
      <c r="Q87" s="162" t="s">
        <v>9</v>
      </c>
      <c r="R87" s="162" t="s">
        <v>9</v>
      </c>
      <c r="S87" s="162" t="s">
        <v>9</v>
      </c>
      <c r="T87" s="162" t="s">
        <v>9</v>
      </c>
      <c r="U87" s="162" t="s">
        <v>9</v>
      </c>
      <c r="V87" s="162" t="s">
        <v>9</v>
      </c>
      <c r="W87" s="162" t="s">
        <v>9</v>
      </c>
      <c r="X87" s="162" t="s">
        <v>9</v>
      </c>
      <c r="Y87" s="162" t="s">
        <v>9</v>
      </c>
      <c r="Z87" s="162" t="s">
        <v>9</v>
      </c>
      <c r="AA87" s="162" t="s">
        <v>9</v>
      </c>
      <c r="AB87" s="162" t="s">
        <v>9</v>
      </c>
      <c r="AC87" s="162" t="s">
        <v>9</v>
      </c>
      <c r="AD87" s="162" t="s">
        <v>9</v>
      </c>
      <c r="AE87" s="162" t="s">
        <v>9</v>
      </c>
      <c r="AF87" s="162" t="s">
        <v>9</v>
      </c>
      <c r="AG87" s="162" t="s">
        <v>9</v>
      </c>
      <c r="AH87" s="162" t="s">
        <v>9</v>
      </c>
      <c r="AI87" s="162" t="s">
        <v>9</v>
      </c>
      <c r="AJ87" s="162" t="s">
        <v>9</v>
      </c>
      <c r="AK87" s="162" t="s">
        <v>9</v>
      </c>
      <c r="AL87" s="162" t="s">
        <v>9</v>
      </c>
      <c r="AM87" s="162" t="s">
        <v>9</v>
      </c>
      <c r="AN87" s="162" t="s">
        <v>9</v>
      </c>
      <c r="AO87" s="162" t="s">
        <v>9</v>
      </c>
      <c r="AP87" s="162" t="s">
        <v>9</v>
      </c>
      <c r="AQ87" s="162" t="s">
        <v>9</v>
      </c>
      <c r="AR87" s="162" t="s">
        <v>9</v>
      </c>
      <c r="AS87" s="162" t="s">
        <v>9</v>
      </c>
      <c r="AT87" s="162" t="s">
        <v>9</v>
      </c>
      <c r="AU87" s="162" t="s">
        <v>9</v>
      </c>
      <c r="AV87" s="162" t="s">
        <v>9</v>
      </c>
      <c r="AW87" s="162" t="s">
        <v>9</v>
      </c>
      <c r="AX87" s="162" t="s">
        <v>9</v>
      </c>
      <c r="AY87" s="162" t="s">
        <v>9</v>
      </c>
      <c r="AZ87" s="162" t="s">
        <v>9</v>
      </c>
      <c r="BA87" s="162" t="s">
        <v>9</v>
      </c>
      <c r="BB87" s="162" t="s">
        <v>9</v>
      </c>
      <c r="BC87" s="162" t="s">
        <v>9</v>
      </c>
      <c r="BD87" s="162" t="s">
        <v>9</v>
      </c>
      <c r="BE87" s="162" t="s">
        <v>9</v>
      </c>
      <c r="BF87" s="162" t="s">
        <v>9</v>
      </c>
      <c r="BG87" s="162" t="s">
        <v>9</v>
      </c>
      <c r="BH87" s="162" t="s">
        <v>9</v>
      </c>
      <c r="BI87" s="162" t="s">
        <v>9</v>
      </c>
      <c r="BJ87" s="162" t="s">
        <v>9</v>
      </c>
      <c r="BK87" s="162" t="s">
        <v>9</v>
      </c>
      <c r="BL87" s="162" t="s">
        <v>9</v>
      </c>
      <c r="BM87" s="162" t="s">
        <v>9</v>
      </c>
      <c r="BN87" s="162" t="s">
        <v>9</v>
      </c>
      <c r="BO87" s="162" t="s">
        <v>9</v>
      </c>
      <c r="BP87" s="162" t="s">
        <v>9</v>
      </c>
      <c r="BQ87" s="162" t="s">
        <v>9</v>
      </c>
      <c r="BR87" s="162" t="s">
        <v>9</v>
      </c>
      <c r="BS87" s="194"/>
    </row>
    <row r="88" spans="1:71">
      <c r="A88" s="145" t="s">
        <v>258</v>
      </c>
      <c r="B88" s="145" t="s">
        <v>52</v>
      </c>
      <c r="C88" s="145">
        <v>1</v>
      </c>
      <c r="D88" s="146" t="s">
        <v>607</v>
      </c>
      <c r="E88" s="147" t="str">
        <f>IF(COUNTIF(Measure_62443_3_3[[#This Row],[G 0.13 Interception of Compromising Interference Signals]:[OPS.1.1.3.8 Manipulation of data and tools during patch and change management]],"P")&gt;0,"X","")</f>
        <v/>
      </c>
      <c r="F88" s="147" t="str">
        <f>IF(OR(Measure_62443_3_3[[#This Row],[Requirement Selected (Prefulfilled)]]="X",Measure_62443_3_3[[#This Row],[Relevance revoked]]="Yes"),"X","")</f>
        <v/>
      </c>
      <c r="G88" s="147" t="str">
        <f>IF(COUNTIF(Measure_62443_3_3[[#This Row],[G 0.13 Interception of Compromising Interference Signals]:[OPS.1.1.3.8 Manipulation of data and tools during patch and change management]],"P")&gt;0,"X","")</f>
        <v/>
      </c>
      <c r="H88" s="147" t="str">
        <f>IF(OR(Measure_62443_3_3[[#This Row],[Requirement Selected (Prefulfilled + Mitigating)]]="X",Measure_62443_3_3[[#This Row],[Relevance revoked]]="Yes"),"X","")</f>
        <v/>
      </c>
      <c r="I88" s="148" t="str">
        <f>IF(VLOOKUP(Measure_62443_3_3[[#This Row],[FR]],'SL-T'!$A$5:$B$11,2,FALSE)&gt;=Measure_62443_3_3[[#This Row],[lowest SL-T]],"X","")</f>
        <v>X</v>
      </c>
      <c r="J88" s="160" t="s">
        <v>90</v>
      </c>
      <c r="K88" s="161"/>
      <c r="L88" s="162" t="s">
        <v>9</v>
      </c>
      <c r="M88" s="162" t="s">
        <v>9</v>
      </c>
      <c r="N88" s="162" t="s">
        <v>9</v>
      </c>
      <c r="O88" s="162" t="s">
        <v>9</v>
      </c>
      <c r="P88" s="162" t="s">
        <v>9</v>
      </c>
      <c r="Q88" s="162" t="s">
        <v>9</v>
      </c>
      <c r="R88" s="162" t="s">
        <v>9</v>
      </c>
      <c r="S88" s="162" t="s">
        <v>9</v>
      </c>
      <c r="T88" s="162" t="s">
        <v>9</v>
      </c>
      <c r="U88" s="162" t="s">
        <v>9</v>
      </c>
      <c r="V88" s="162" t="s">
        <v>9</v>
      </c>
      <c r="W88" s="162" t="s">
        <v>9</v>
      </c>
      <c r="X88" s="162" t="s">
        <v>9</v>
      </c>
      <c r="Y88" s="162" t="s">
        <v>9</v>
      </c>
      <c r="Z88" s="162" t="s">
        <v>9</v>
      </c>
      <c r="AA88" s="162" t="s">
        <v>9</v>
      </c>
      <c r="AB88" s="162" t="s">
        <v>9</v>
      </c>
      <c r="AC88" s="162" t="s">
        <v>9</v>
      </c>
      <c r="AD88" s="162" t="s">
        <v>9</v>
      </c>
      <c r="AE88" s="162" t="s">
        <v>9</v>
      </c>
      <c r="AF88" s="162" t="s">
        <v>9</v>
      </c>
      <c r="AG88" s="162" t="s">
        <v>9</v>
      </c>
      <c r="AH88" s="162" t="s">
        <v>9</v>
      </c>
      <c r="AI88" s="162" t="s">
        <v>9</v>
      </c>
      <c r="AJ88" s="162" t="s">
        <v>9</v>
      </c>
      <c r="AK88" s="162" t="s">
        <v>9</v>
      </c>
      <c r="AL88" s="162" t="s">
        <v>9</v>
      </c>
      <c r="AM88" s="162" t="s">
        <v>9</v>
      </c>
      <c r="AN88" s="162" t="s">
        <v>9</v>
      </c>
      <c r="AO88" s="162" t="s">
        <v>9</v>
      </c>
      <c r="AP88" s="162" t="s">
        <v>9</v>
      </c>
      <c r="AQ88" s="162" t="s">
        <v>9</v>
      </c>
      <c r="AR88" s="162" t="s">
        <v>9</v>
      </c>
      <c r="AS88" s="162" t="s">
        <v>9</v>
      </c>
      <c r="AT88" s="162" t="s">
        <v>9</v>
      </c>
      <c r="AU88" s="162" t="s">
        <v>9</v>
      </c>
      <c r="AV88" s="162" t="s">
        <v>9</v>
      </c>
      <c r="AW88" s="162" t="s">
        <v>9</v>
      </c>
      <c r="AX88" s="162" t="s">
        <v>9</v>
      </c>
      <c r="AY88" s="162" t="s">
        <v>9</v>
      </c>
      <c r="AZ88" s="162" t="s">
        <v>9</v>
      </c>
      <c r="BA88" s="162" t="s">
        <v>9</v>
      </c>
      <c r="BB88" s="162" t="s">
        <v>9</v>
      </c>
      <c r="BC88" s="162" t="s">
        <v>9</v>
      </c>
      <c r="BD88" s="162" t="s">
        <v>9</v>
      </c>
      <c r="BE88" s="162" t="s">
        <v>9</v>
      </c>
      <c r="BF88" s="162" t="s">
        <v>9</v>
      </c>
      <c r="BG88" s="162" t="s">
        <v>9</v>
      </c>
      <c r="BH88" s="162" t="s">
        <v>9</v>
      </c>
      <c r="BI88" s="162" t="s">
        <v>9</v>
      </c>
      <c r="BJ88" s="162" t="s">
        <v>9</v>
      </c>
      <c r="BK88" s="162" t="s">
        <v>9</v>
      </c>
      <c r="BL88" s="162" t="s">
        <v>9</v>
      </c>
      <c r="BM88" s="162" t="s">
        <v>9</v>
      </c>
      <c r="BN88" s="162" t="s">
        <v>9</v>
      </c>
      <c r="BO88" s="162" t="s">
        <v>9</v>
      </c>
      <c r="BP88" s="162" t="s">
        <v>9</v>
      </c>
      <c r="BQ88" s="162" t="s">
        <v>9</v>
      </c>
      <c r="BR88" s="162" t="s">
        <v>9</v>
      </c>
      <c r="BS88" s="194"/>
    </row>
    <row r="89" spans="1:71">
      <c r="A89" s="145" t="s">
        <v>259</v>
      </c>
      <c r="B89" s="145" t="s">
        <v>52</v>
      </c>
      <c r="C89" s="145">
        <v>3</v>
      </c>
      <c r="D89" s="146" t="s">
        <v>607</v>
      </c>
      <c r="E89" s="147" t="str">
        <f>IF(COUNTIF(Measure_62443_3_3[[#This Row],[G 0.13 Interception of Compromising Interference Signals]:[OPS.1.1.3.8 Manipulation of data and tools during patch and change management]],"P")&gt;0,"X","")</f>
        <v/>
      </c>
      <c r="F89" s="147" t="str">
        <f>IF(OR(Measure_62443_3_3[[#This Row],[Requirement Selected (Prefulfilled)]]="X",Measure_62443_3_3[[#This Row],[Relevance revoked]]="Yes"),"X","")</f>
        <v/>
      </c>
      <c r="G89" s="147" t="str">
        <f>IF(COUNTIF(Measure_62443_3_3[[#This Row],[G 0.13 Interception of Compromising Interference Signals]:[OPS.1.1.3.8 Manipulation of data and tools during patch and change management]],"P")&gt;0,"X","")</f>
        <v/>
      </c>
      <c r="H89" s="147" t="str">
        <f>IF(OR(Measure_62443_3_3[[#This Row],[Requirement Selected (Prefulfilled + Mitigating)]]="X",Measure_62443_3_3[[#This Row],[Relevance revoked]]="Yes"),"X","")</f>
        <v/>
      </c>
      <c r="I89" s="148" t="str">
        <f>IF(VLOOKUP(Measure_62443_3_3[[#This Row],[FR]],'SL-T'!$A$5:$B$11,2,FALSE)&gt;=Measure_62443_3_3[[#This Row],[lowest SL-T]],"X","")</f>
        <v>X</v>
      </c>
      <c r="J89" s="160" t="s">
        <v>90</v>
      </c>
      <c r="K89" s="161"/>
      <c r="L89" s="162" t="s">
        <v>9</v>
      </c>
      <c r="M89" s="162" t="s">
        <v>9</v>
      </c>
      <c r="N89" s="162" t="s">
        <v>9</v>
      </c>
      <c r="O89" s="162" t="s">
        <v>9</v>
      </c>
      <c r="P89" s="162" t="s">
        <v>9</v>
      </c>
      <c r="Q89" s="162" t="s">
        <v>9</v>
      </c>
      <c r="R89" s="162" t="s">
        <v>9</v>
      </c>
      <c r="S89" s="162" t="s">
        <v>9</v>
      </c>
      <c r="T89" s="162" t="s">
        <v>9</v>
      </c>
      <c r="U89" s="162" t="s">
        <v>9</v>
      </c>
      <c r="V89" s="162" t="s">
        <v>9</v>
      </c>
      <c r="W89" s="162" t="s">
        <v>9</v>
      </c>
      <c r="X89" s="162" t="s">
        <v>9</v>
      </c>
      <c r="Y89" s="162" t="s">
        <v>9</v>
      </c>
      <c r="Z89" s="162" t="s">
        <v>9</v>
      </c>
      <c r="AA89" s="162" t="s">
        <v>9</v>
      </c>
      <c r="AB89" s="162" t="s">
        <v>9</v>
      </c>
      <c r="AC89" s="162" t="s">
        <v>9</v>
      </c>
      <c r="AD89" s="162" t="s">
        <v>9</v>
      </c>
      <c r="AE89" s="162" t="s">
        <v>9</v>
      </c>
      <c r="AF89" s="162" t="s">
        <v>9</v>
      </c>
      <c r="AG89" s="162" t="s">
        <v>9</v>
      </c>
      <c r="AH89" s="162" t="s">
        <v>9</v>
      </c>
      <c r="AI89" s="162" t="s">
        <v>9</v>
      </c>
      <c r="AJ89" s="162" t="s">
        <v>9</v>
      </c>
      <c r="AK89" s="162" t="s">
        <v>9</v>
      </c>
      <c r="AL89" s="162" t="s">
        <v>9</v>
      </c>
      <c r="AM89" s="162" t="s">
        <v>9</v>
      </c>
      <c r="AN89" s="162" t="s">
        <v>9</v>
      </c>
      <c r="AO89" s="162" t="s">
        <v>9</v>
      </c>
      <c r="AP89" s="162" t="s">
        <v>9</v>
      </c>
      <c r="AQ89" s="162" t="s">
        <v>9</v>
      </c>
      <c r="AR89" s="162" t="s">
        <v>9</v>
      </c>
      <c r="AS89" s="162" t="s">
        <v>9</v>
      </c>
      <c r="AT89" s="162" t="s">
        <v>9</v>
      </c>
      <c r="AU89" s="162" t="s">
        <v>9</v>
      </c>
      <c r="AV89" s="162" t="s">
        <v>9</v>
      </c>
      <c r="AW89" s="162" t="s">
        <v>9</v>
      </c>
      <c r="AX89" s="162" t="s">
        <v>9</v>
      </c>
      <c r="AY89" s="162" t="s">
        <v>9</v>
      </c>
      <c r="AZ89" s="162" t="s">
        <v>9</v>
      </c>
      <c r="BA89" s="162" t="s">
        <v>9</v>
      </c>
      <c r="BB89" s="162" t="s">
        <v>9</v>
      </c>
      <c r="BC89" s="162" t="s">
        <v>9</v>
      </c>
      <c r="BD89" s="162" t="s">
        <v>9</v>
      </c>
      <c r="BE89" s="162" t="s">
        <v>9</v>
      </c>
      <c r="BF89" s="162" t="s">
        <v>9</v>
      </c>
      <c r="BG89" s="162" t="s">
        <v>9</v>
      </c>
      <c r="BH89" s="162" t="s">
        <v>9</v>
      </c>
      <c r="BI89" s="162" t="s">
        <v>9</v>
      </c>
      <c r="BJ89" s="162" t="s">
        <v>9</v>
      </c>
      <c r="BK89" s="162" t="s">
        <v>9</v>
      </c>
      <c r="BL89" s="162" t="s">
        <v>9</v>
      </c>
      <c r="BM89" s="162" t="s">
        <v>9</v>
      </c>
      <c r="BN89" s="162" t="s">
        <v>9</v>
      </c>
      <c r="BO89" s="162" t="s">
        <v>9</v>
      </c>
      <c r="BP89" s="162" t="s">
        <v>9</v>
      </c>
      <c r="BQ89" s="162" t="s">
        <v>9</v>
      </c>
      <c r="BR89" s="162" t="s">
        <v>9</v>
      </c>
      <c r="BS89" s="194"/>
    </row>
    <row r="90" spans="1:71">
      <c r="A90" s="145" t="s">
        <v>260</v>
      </c>
      <c r="B90" s="145" t="s">
        <v>52</v>
      </c>
      <c r="C90" s="145">
        <v>2</v>
      </c>
      <c r="D90" s="146" t="s">
        <v>607</v>
      </c>
      <c r="E90" s="147" t="str">
        <f>IF(COUNTIF(Measure_62443_3_3[[#This Row],[G 0.13 Interception of Compromising Interference Signals]:[OPS.1.1.3.8 Manipulation of data and tools during patch and change management]],"P")&gt;0,"X","")</f>
        <v/>
      </c>
      <c r="F90" s="147" t="str">
        <f>IF(OR(Measure_62443_3_3[[#This Row],[Requirement Selected (Prefulfilled)]]="X",Measure_62443_3_3[[#This Row],[Relevance revoked]]="Yes"),"X","")</f>
        <v/>
      </c>
      <c r="G90" s="147" t="str">
        <f>IF(COUNTIF(Measure_62443_3_3[[#This Row],[G 0.13 Interception of Compromising Interference Signals]:[OPS.1.1.3.8 Manipulation of data and tools during patch and change management]],"P")&gt;0,"X","")</f>
        <v/>
      </c>
      <c r="H90" s="147" t="str">
        <f>IF(OR(Measure_62443_3_3[[#This Row],[Requirement Selected (Prefulfilled + Mitigating)]]="X",Measure_62443_3_3[[#This Row],[Relevance revoked]]="Yes"),"X","")</f>
        <v/>
      </c>
      <c r="I90" s="148" t="str">
        <f>IF(VLOOKUP(Measure_62443_3_3[[#This Row],[FR]],'SL-T'!$A$5:$B$11,2,FALSE)&gt;=Measure_62443_3_3[[#This Row],[lowest SL-T]],"X","")</f>
        <v>X</v>
      </c>
      <c r="J90" s="160" t="s">
        <v>90</v>
      </c>
      <c r="K90" s="161"/>
      <c r="L90" s="162" t="s">
        <v>9</v>
      </c>
      <c r="M90" s="162" t="s">
        <v>9</v>
      </c>
      <c r="N90" s="162" t="s">
        <v>9</v>
      </c>
      <c r="O90" s="162" t="s">
        <v>9</v>
      </c>
      <c r="P90" s="162" t="s">
        <v>9</v>
      </c>
      <c r="Q90" s="162" t="s">
        <v>9</v>
      </c>
      <c r="R90" s="162" t="s">
        <v>9</v>
      </c>
      <c r="S90" s="162" t="s">
        <v>9</v>
      </c>
      <c r="T90" s="162" t="s">
        <v>9</v>
      </c>
      <c r="U90" s="162" t="s">
        <v>9</v>
      </c>
      <c r="V90" s="162" t="s">
        <v>9</v>
      </c>
      <c r="W90" s="162" t="s">
        <v>9</v>
      </c>
      <c r="X90" s="162" t="s">
        <v>9</v>
      </c>
      <c r="Y90" s="162" t="s">
        <v>9</v>
      </c>
      <c r="Z90" s="162" t="s">
        <v>9</v>
      </c>
      <c r="AA90" s="162" t="s">
        <v>9</v>
      </c>
      <c r="AB90" s="162" t="s">
        <v>9</v>
      </c>
      <c r="AC90" s="162" t="s">
        <v>9</v>
      </c>
      <c r="AD90" s="162" t="s">
        <v>9</v>
      </c>
      <c r="AE90" s="162" t="s">
        <v>9</v>
      </c>
      <c r="AF90" s="162" t="s">
        <v>9</v>
      </c>
      <c r="AG90" s="162" t="s">
        <v>9</v>
      </c>
      <c r="AH90" s="162" t="s">
        <v>9</v>
      </c>
      <c r="AI90" s="162" t="s">
        <v>9</v>
      </c>
      <c r="AJ90" s="162" t="s">
        <v>9</v>
      </c>
      <c r="AK90" s="162" t="s">
        <v>9</v>
      </c>
      <c r="AL90" s="162" t="s">
        <v>9</v>
      </c>
      <c r="AM90" s="162" t="s">
        <v>9</v>
      </c>
      <c r="AN90" s="162" t="s">
        <v>9</v>
      </c>
      <c r="AO90" s="162" t="s">
        <v>9</v>
      </c>
      <c r="AP90" s="162" t="s">
        <v>9</v>
      </c>
      <c r="AQ90" s="162" t="s">
        <v>9</v>
      </c>
      <c r="AR90" s="162" t="s">
        <v>9</v>
      </c>
      <c r="AS90" s="162" t="s">
        <v>9</v>
      </c>
      <c r="AT90" s="162" t="s">
        <v>9</v>
      </c>
      <c r="AU90" s="162" t="s">
        <v>9</v>
      </c>
      <c r="AV90" s="162" t="s">
        <v>9</v>
      </c>
      <c r="AW90" s="162" t="s">
        <v>9</v>
      </c>
      <c r="AX90" s="162" t="s">
        <v>9</v>
      </c>
      <c r="AY90" s="162" t="s">
        <v>9</v>
      </c>
      <c r="AZ90" s="162" t="s">
        <v>9</v>
      </c>
      <c r="BA90" s="162" t="s">
        <v>9</v>
      </c>
      <c r="BB90" s="162" t="s">
        <v>9</v>
      </c>
      <c r="BC90" s="162" t="s">
        <v>9</v>
      </c>
      <c r="BD90" s="162" t="s">
        <v>9</v>
      </c>
      <c r="BE90" s="162" t="s">
        <v>9</v>
      </c>
      <c r="BF90" s="162" t="s">
        <v>9</v>
      </c>
      <c r="BG90" s="162" t="s">
        <v>9</v>
      </c>
      <c r="BH90" s="162" t="s">
        <v>9</v>
      </c>
      <c r="BI90" s="162" t="s">
        <v>9</v>
      </c>
      <c r="BJ90" s="162" t="s">
        <v>9</v>
      </c>
      <c r="BK90" s="162" t="s">
        <v>9</v>
      </c>
      <c r="BL90" s="162" t="s">
        <v>9</v>
      </c>
      <c r="BM90" s="162" t="s">
        <v>9</v>
      </c>
      <c r="BN90" s="162" t="s">
        <v>9</v>
      </c>
      <c r="BO90" s="162" t="s">
        <v>9</v>
      </c>
      <c r="BP90" s="162" t="s">
        <v>9</v>
      </c>
      <c r="BQ90" s="162" t="s">
        <v>9</v>
      </c>
      <c r="BR90" s="162" t="s">
        <v>9</v>
      </c>
      <c r="BS90" s="194"/>
    </row>
    <row r="91" spans="1:71">
      <c r="A91" s="145" t="s">
        <v>261</v>
      </c>
      <c r="B91" s="145" t="s">
        <v>53</v>
      </c>
      <c r="C91" s="145">
        <v>1</v>
      </c>
      <c r="D91" s="146" t="s">
        <v>607</v>
      </c>
      <c r="E91" s="147" t="str">
        <f>IF(COUNTIF(Measure_62443_3_3[[#This Row],[G 0.13 Interception of Compromising Interference Signals]:[OPS.1.1.3.8 Manipulation of data and tools during patch and change management]],"P")&gt;0,"X","")</f>
        <v/>
      </c>
      <c r="F91" s="147" t="str">
        <f>IF(OR(Measure_62443_3_3[[#This Row],[Requirement Selected (Prefulfilled)]]="X",Measure_62443_3_3[[#This Row],[Relevance revoked]]="Yes"),"X","")</f>
        <v/>
      </c>
      <c r="G91" s="147" t="str">
        <f>IF(COUNTIF(Measure_62443_3_3[[#This Row],[G 0.13 Interception of Compromising Interference Signals]:[OPS.1.1.3.8 Manipulation of data and tools during patch and change management]],"P")&gt;0,"X","")</f>
        <v/>
      </c>
      <c r="H91" s="147" t="str">
        <f>IF(OR(Measure_62443_3_3[[#This Row],[Requirement Selected (Prefulfilled + Mitigating)]]="X",Measure_62443_3_3[[#This Row],[Relevance revoked]]="Yes"),"X","")</f>
        <v/>
      </c>
      <c r="I91" s="148" t="str">
        <f>IF(VLOOKUP(Measure_62443_3_3[[#This Row],[FR]],'SL-T'!$A$5:$B$11,2,FALSE)&gt;=Measure_62443_3_3[[#This Row],[lowest SL-T]],"X","")</f>
        <v>X</v>
      </c>
      <c r="J91" s="160" t="s">
        <v>90</v>
      </c>
      <c r="K91" s="161"/>
      <c r="L91" s="162" t="s">
        <v>9</v>
      </c>
      <c r="M91" s="162" t="s">
        <v>9</v>
      </c>
      <c r="N91" s="162" t="s">
        <v>9</v>
      </c>
      <c r="O91" s="162" t="s">
        <v>9</v>
      </c>
      <c r="P91" s="162" t="s">
        <v>9</v>
      </c>
      <c r="Q91" s="162" t="s">
        <v>9</v>
      </c>
      <c r="R91" s="162" t="s">
        <v>9</v>
      </c>
      <c r="S91" s="162" t="s">
        <v>9</v>
      </c>
      <c r="T91" s="162" t="s">
        <v>9</v>
      </c>
      <c r="U91" s="162" t="s">
        <v>9</v>
      </c>
      <c r="V91" s="162" t="s">
        <v>9</v>
      </c>
      <c r="W91" s="162" t="s">
        <v>9</v>
      </c>
      <c r="X91" s="162" t="s">
        <v>9</v>
      </c>
      <c r="Y91" s="162" t="s">
        <v>9</v>
      </c>
      <c r="Z91" s="162" t="s">
        <v>9</v>
      </c>
      <c r="AA91" s="162" t="s">
        <v>9</v>
      </c>
      <c r="AB91" s="162" t="s">
        <v>9</v>
      </c>
      <c r="AC91" s="162" t="s">
        <v>9</v>
      </c>
      <c r="AD91" s="162" t="s">
        <v>9</v>
      </c>
      <c r="AE91" s="162" t="s">
        <v>9</v>
      </c>
      <c r="AF91" s="162" t="s">
        <v>9</v>
      </c>
      <c r="AG91" s="162" t="s">
        <v>9</v>
      </c>
      <c r="AH91" s="162" t="s">
        <v>9</v>
      </c>
      <c r="AI91" s="162" t="s">
        <v>9</v>
      </c>
      <c r="AJ91" s="162" t="s">
        <v>9</v>
      </c>
      <c r="AK91" s="162" t="s">
        <v>9</v>
      </c>
      <c r="AL91" s="162" t="s">
        <v>9</v>
      </c>
      <c r="AM91" s="162" t="s">
        <v>9</v>
      </c>
      <c r="AN91" s="162" t="s">
        <v>9</v>
      </c>
      <c r="AO91" s="162" t="s">
        <v>9</v>
      </c>
      <c r="AP91" s="162" t="s">
        <v>9</v>
      </c>
      <c r="AQ91" s="162" t="s">
        <v>9</v>
      </c>
      <c r="AR91" s="162" t="s">
        <v>9</v>
      </c>
      <c r="AS91" s="162" t="s">
        <v>9</v>
      </c>
      <c r="AT91" s="162" t="s">
        <v>9</v>
      </c>
      <c r="AU91" s="162" t="s">
        <v>9</v>
      </c>
      <c r="AV91" s="162" t="s">
        <v>9</v>
      </c>
      <c r="AW91" s="162" t="s">
        <v>9</v>
      </c>
      <c r="AX91" s="162" t="s">
        <v>9</v>
      </c>
      <c r="AY91" s="162" t="s">
        <v>9</v>
      </c>
      <c r="AZ91" s="162" t="s">
        <v>9</v>
      </c>
      <c r="BA91" s="162" t="s">
        <v>9</v>
      </c>
      <c r="BB91" s="162" t="s">
        <v>9</v>
      </c>
      <c r="BC91" s="162" t="s">
        <v>9</v>
      </c>
      <c r="BD91" s="162" t="s">
        <v>9</v>
      </c>
      <c r="BE91" s="162" t="s">
        <v>9</v>
      </c>
      <c r="BF91" s="162" t="s">
        <v>9</v>
      </c>
      <c r="BG91" s="162" t="s">
        <v>9</v>
      </c>
      <c r="BH91" s="162" t="s">
        <v>9</v>
      </c>
      <c r="BI91" s="162" t="s">
        <v>9</v>
      </c>
      <c r="BJ91" s="162" t="s">
        <v>9</v>
      </c>
      <c r="BK91" s="162" t="s">
        <v>9</v>
      </c>
      <c r="BL91" s="162" t="s">
        <v>9</v>
      </c>
      <c r="BM91" s="162" t="s">
        <v>9</v>
      </c>
      <c r="BN91" s="162" t="s">
        <v>9</v>
      </c>
      <c r="BO91" s="162" t="s">
        <v>9</v>
      </c>
      <c r="BP91" s="162" t="s">
        <v>9</v>
      </c>
      <c r="BQ91" s="162" t="s">
        <v>9</v>
      </c>
      <c r="BR91" s="162" t="s">
        <v>9</v>
      </c>
      <c r="BS91" s="194"/>
    </row>
    <row r="92" spans="1:71">
      <c r="A92" s="145" t="s">
        <v>262</v>
      </c>
      <c r="B92" s="145" t="s">
        <v>53</v>
      </c>
      <c r="C92" s="145">
        <v>2</v>
      </c>
      <c r="D92" s="146" t="s">
        <v>607</v>
      </c>
      <c r="E92" s="147" t="str">
        <f>IF(COUNTIF(Measure_62443_3_3[[#This Row],[G 0.13 Interception of Compromising Interference Signals]:[OPS.1.1.3.8 Manipulation of data and tools during patch and change management]],"P")&gt;0,"X","")</f>
        <v/>
      </c>
      <c r="F92" s="147" t="str">
        <f>IF(OR(Measure_62443_3_3[[#This Row],[Requirement Selected (Prefulfilled)]]="X",Measure_62443_3_3[[#This Row],[Relevance revoked]]="Yes"),"X","")</f>
        <v/>
      </c>
      <c r="G92" s="147" t="str">
        <f>IF(COUNTIF(Measure_62443_3_3[[#This Row],[G 0.13 Interception of Compromising Interference Signals]:[OPS.1.1.3.8 Manipulation of data and tools during patch and change management]],"P")&gt;0,"X","")</f>
        <v/>
      </c>
      <c r="H92" s="147" t="str">
        <f>IF(OR(Measure_62443_3_3[[#This Row],[Requirement Selected (Prefulfilled + Mitigating)]]="X",Measure_62443_3_3[[#This Row],[Relevance revoked]]="Yes"),"X","")</f>
        <v/>
      </c>
      <c r="I92" s="148" t="str">
        <f>IF(VLOOKUP(Measure_62443_3_3[[#This Row],[FR]],'SL-T'!$A$5:$B$11,2,FALSE)&gt;=Measure_62443_3_3[[#This Row],[lowest SL-T]],"X","")</f>
        <v>X</v>
      </c>
      <c r="J92" s="160" t="s">
        <v>90</v>
      </c>
      <c r="K92" s="161"/>
      <c r="L92" s="162" t="s">
        <v>9</v>
      </c>
      <c r="M92" s="162" t="s">
        <v>9</v>
      </c>
      <c r="N92" s="162" t="s">
        <v>9</v>
      </c>
      <c r="O92" s="162" t="s">
        <v>9</v>
      </c>
      <c r="P92" s="162" t="s">
        <v>9</v>
      </c>
      <c r="Q92" s="162" t="s">
        <v>9</v>
      </c>
      <c r="R92" s="162" t="s">
        <v>9</v>
      </c>
      <c r="S92" s="162" t="s">
        <v>9</v>
      </c>
      <c r="T92" s="162" t="s">
        <v>9</v>
      </c>
      <c r="U92" s="162" t="s">
        <v>9</v>
      </c>
      <c r="V92" s="162" t="s">
        <v>9</v>
      </c>
      <c r="W92" s="162" t="s">
        <v>9</v>
      </c>
      <c r="X92" s="162" t="s">
        <v>9</v>
      </c>
      <c r="Y92" s="162" t="s">
        <v>9</v>
      </c>
      <c r="Z92" s="162" t="s">
        <v>9</v>
      </c>
      <c r="AA92" s="162" t="s">
        <v>9</v>
      </c>
      <c r="AB92" s="162" t="s">
        <v>9</v>
      </c>
      <c r="AC92" s="162" t="s">
        <v>9</v>
      </c>
      <c r="AD92" s="162" t="s">
        <v>9</v>
      </c>
      <c r="AE92" s="162" t="s">
        <v>9</v>
      </c>
      <c r="AF92" s="162" t="s">
        <v>9</v>
      </c>
      <c r="AG92" s="162" t="s">
        <v>9</v>
      </c>
      <c r="AH92" s="162" t="s">
        <v>9</v>
      </c>
      <c r="AI92" s="162" t="s">
        <v>9</v>
      </c>
      <c r="AJ92" s="162" t="s">
        <v>9</v>
      </c>
      <c r="AK92" s="162" t="s">
        <v>9</v>
      </c>
      <c r="AL92" s="162" t="s">
        <v>9</v>
      </c>
      <c r="AM92" s="162" t="s">
        <v>9</v>
      </c>
      <c r="AN92" s="162" t="s">
        <v>9</v>
      </c>
      <c r="AO92" s="162" t="s">
        <v>9</v>
      </c>
      <c r="AP92" s="162" t="s">
        <v>9</v>
      </c>
      <c r="AQ92" s="162" t="s">
        <v>9</v>
      </c>
      <c r="AR92" s="162" t="s">
        <v>9</v>
      </c>
      <c r="AS92" s="162" t="s">
        <v>9</v>
      </c>
      <c r="AT92" s="162" t="s">
        <v>9</v>
      </c>
      <c r="AU92" s="162" t="s">
        <v>9</v>
      </c>
      <c r="AV92" s="162" t="s">
        <v>9</v>
      </c>
      <c r="AW92" s="162" t="s">
        <v>9</v>
      </c>
      <c r="AX92" s="162" t="s">
        <v>9</v>
      </c>
      <c r="AY92" s="162" t="s">
        <v>9</v>
      </c>
      <c r="AZ92" s="162" t="s">
        <v>9</v>
      </c>
      <c r="BA92" s="162" t="s">
        <v>9</v>
      </c>
      <c r="BB92" s="162" t="s">
        <v>9</v>
      </c>
      <c r="BC92" s="162" t="s">
        <v>9</v>
      </c>
      <c r="BD92" s="162" t="s">
        <v>9</v>
      </c>
      <c r="BE92" s="162" t="s">
        <v>9</v>
      </c>
      <c r="BF92" s="162" t="s">
        <v>9</v>
      </c>
      <c r="BG92" s="162" t="s">
        <v>9</v>
      </c>
      <c r="BH92" s="162" t="s">
        <v>9</v>
      </c>
      <c r="BI92" s="162" t="s">
        <v>9</v>
      </c>
      <c r="BJ92" s="162" t="s">
        <v>9</v>
      </c>
      <c r="BK92" s="162" t="s">
        <v>9</v>
      </c>
      <c r="BL92" s="162" t="s">
        <v>9</v>
      </c>
      <c r="BM92" s="162" t="s">
        <v>9</v>
      </c>
      <c r="BN92" s="162" t="s">
        <v>9</v>
      </c>
      <c r="BO92" s="162" t="s">
        <v>9</v>
      </c>
      <c r="BP92" s="162" t="s">
        <v>9</v>
      </c>
      <c r="BQ92" s="162" t="s">
        <v>9</v>
      </c>
      <c r="BR92" s="162" t="s">
        <v>9</v>
      </c>
      <c r="BS92" s="194"/>
    </row>
    <row r="93" spans="1:71">
      <c r="A93" s="145" t="s">
        <v>263</v>
      </c>
      <c r="B93" s="145" t="s">
        <v>53</v>
      </c>
      <c r="C93" s="145">
        <v>3</v>
      </c>
      <c r="D93" s="146" t="s">
        <v>607</v>
      </c>
      <c r="E93" s="147" t="str">
        <f>IF(COUNTIF(Measure_62443_3_3[[#This Row],[G 0.13 Interception of Compromising Interference Signals]:[OPS.1.1.3.8 Manipulation of data and tools during patch and change management]],"P")&gt;0,"X","")</f>
        <v/>
      </c>
      <c r="F93" s="147" t="str">
        <f>IF(OR(Measure_62443_3_3[[#This Row],[Requirement Selected (Prefulfilled)]]="X",Measure_62443_3_3[[#This Row],[Relevance revoked]]="Yes"),"X","")</f>
        <v/>
      </c>
      <c r="G93" s="147" t="str">
        <f>IF(COUNTIF(Measure_62443_3_3[[#This Row],[G 0.13 Interception of Compromising Interference Signals]:[OPS.1.1.3.8 Manipulation of data and tools during patch and change management]],"P")&gt;0,"X","")</f>
        <v/>
      </c>
      <c r="H93" s="147" t="str">
        <f>IF(OR(Measure_62443_3_3[[#This Row],[Requirement Selected (Prefulfilled + Mitigating)]]="X",Measure_62443_3_3[[#This Row],[Relevance revoked]]="Yes"),"X","")</f>
        <v/>
      </c>
      <c r="I93" s="148" t="str">
        <f>IF(VLOOKUP(Measure_62443_3_3[[#This Row],[FR]],'SL-T'!$A$5:$B$11,2,FALSE)&gt;=Measure_62443_3_3[[#This Row],[lowest SL-T]],"X","")</f>
        <v>X</v>
      </c>
      <c r="J93" s="160" t="s">
        <v>90</v>
      </c>
      <c r="K93" s="161"/>
      <c r="L93" s="162" t="s">
        <v>9</v>
      </c>
      <c r="M93" s="162" t="s">
        <v>9</v>
      </c>
      <c r="N93" s="162" t="s">
        <v>9</v>
      </c>
      <c r="O93" s="162" t="s">
        <v>9</v>
      </c>
      <c r="P93" s="162" t="s">
        <v>9</v>
      </c>
      <c r="Q93" s="162" t="s">
        <v>9</v>
      </c>
      <c r="R93" s="162" t="s">
        <v>9</v>
      </c>
      <c r="S93" s="162" t="s">
        <v>9</v>
      </c>
      <c r="T93" s="162" t="s">
        <v>9</v>
      </c>
      <c r="U93" s="162" t="s">
        <v>9</v>
      </c>
      <c r="V93" s="162" t="s">
        <v>9</v>
      </c>
      <c r="W93" s="162" t="s">
        <v>9</v>
      </c>
      <c r="X93" s="162" t="s">
        <v>9</v>
      </c>
      <c r="Y93" s="162" t="s">
        <v>9</v>
      </c>
      <c r="Z93" s="162" t="s">
        <v>9</v>
      </c>
      <c r="AA93" s="162" t="s">
        <v>9</v>
      </c>
      <c r="AB93" s="162" t="s">
        <v>9</v>
      </c>
      <c r="AC93" s="162" t="s">
        <v>9</v>
      </c>
      <c r="AD93" s="162" t="s">
        <v>9</v>
      </c>
      <c r="AE93" s="162" t="s">
        <v>9</v>
      </c>
      <c r="AF93" s="162" t="s">
        <v>9</v>
      </c>
      <c r="AG93" s="162" t="s">
        <v>9</v>
      </c>
      <c r="AH93" s="162" t="s">
        <v>9</v>
      </c>
      <c r="AI93" s="162" t="s">
        <v>9</v>
      </c>
      <c r="AJ93" s="162" t="s">
        <v>9</v>
      </c>
      <c r="AK93" s="162" t="s">
        <v>9</v>
      </c>
      <c r="AL93" s="162" t="s">
        <v>9</v>
      </c>
      <c r="AM93" s="162" t="s">
        <v>9</v>
      </c>
      <c r="AN93" s="162" t="s">
        <v>9</v>
      </c>
      <c r="AO93" s="162" t="s">
        <v>9</v>
      </c>
      <c r="AP93" s="162" t="s">
        <v>9</v>
      </c>
      <c r="AQ93" s="162" t="s">
        <v>9</v>
      </c>
      <c r="AR93" s="162" t="s">
        <v>9</v>
      </c>
      <c r="AS93" s="162" t="s">
        <v>9</v>
      </c>
      <c r="AT93" s="162" t="s">
        <v>9</v>
      </c>
      <c r="AU93" s="162" t="s">
        <v>9</v>
      </c>
      <c r="AV93" s="162" t="s">
        <v>9</v>
      </c>
      <c r="AW93" s="162" t="s">
        <v>9</v>
      </c>
      <c r="AX93" s="162" t="s">
        <v>9</v>
      </c>
      <c r="AY93" s="162" t="s">
        <v>9</v>
      </c>
      <c r="AZ93" s="162" t="s">
        <v>9</v>
      </c>
      <c r="BA93" s="162" t="s">
        <v>9</v>
      </c>
      <c r="BB93" s="162" t="s">
        <v>9</v>
      </c>
      <c r="BC93" s="162" t="s">
        <v>9</v>
      </c>
      <c r="BD93" s="162" t="s">
        <v>9</v>
      </c>
      <c r="BE93" s="162" t="s">
        <v>9</v>
      </c>
      <c r="BF93" s="162" t="s">
        <v>9</v>
      </c>
      <c r="BG93" s="162" t="s">
        <v>9</v>
      </c>
      <c r="BH93" s="162" t="s">
        <v>9</v>
      </c>
      <c r="BI93" s="162" t="s">
        <v>9</v>
      </c>
      <c r="BJ93" s="162" t="s">
        <v>9</v>
      </c>
      <c r="BK93" s="162" t="s">
        <v>9</v>
      </c>
      <c r="BL93" s="162" t="s">
        <v>9</v>
      </c>
      <c r="BM93" s="162" t="s">
        <v>9</v>
      </c>
      <c r="BN93" s="162" t="s">
        <v>9</v>
      </c>
      <c r="BO93" s="162" t="s">
        <v>9</v>
      </c>
      <c r="BP93" s="162" t="s">
        <v>9</v>
      </c>
      <c r="BQ93" s="162" t="s">
        <v>9</v>
      </c>
      <c r="BR93" s="162" t="s">
        <v>9</v>
      </c>
      <c r="BS93" s="194"/>
    </row>
    <row r="94" spans="1:71">
      <c r="A94" s="145" t="s">
        <v>264</v>
      </c>
      <c r="B94" s="145" t="s">
        <v>53</v>
      </c>
      <c r="C94" s="145">
        <v>1</v>
      </c>
      <c r="D94" s="146" t="s">
        <v>607</v>
      </c>
      <c r="E94" s="147" t="str">
        <f>IF(COUNTIF(Measure_62443_3_3[[#This Row],[G 0.13 Interception of Compromising Interference Signals]:[OPS.1.1.3.8 Manipulation of data and tools during patch and change management]],"P")&gt;0,"X","")</f>
        <v/>
      </c>
      <c r="F94" s="147" t="str">
        <f>IF(OR(Measure_62443_3_3[[#This Row],[Requirement Selected (Prefulfilled)]]="X",Measure_62443_3_3[[#This Row],[Relevance revoked]]="Yes"),"X","")</f>
        <v/>
      </c>
      <c r="G94" s="147" t="str">
        <f>IF(COUNTIF(Measure_62443_3_3[[#This Row],[G 0.13 Interception of Compromising Interference Signals]:[OPS.1.1.3.8 Manipulation of data and tools during patch and change management]],"P")&gt;0,"X","")</f>
        <v/>
      </c>
      <c r="H94" s="147" t="str">
        <f>IF(OR(Measure_62443_3_3[[#This Row],[Requirement Selected (Prefulfilled + Mitigating)]]="X",Measure_62443_3_3[[#This Row],[Relevance revoked]]="Yes"),"X","")</f>
        <v/>
      </c>
      <c r="I94" s="148" t="str">
        <f>IF(VLOOKUP(Measure_62443_3_3[[#This Row],[FR]],'SL-T'!$A$5:$B$11,2,FALSE)&gt;=Measure_62443_3_3[[#This Row],[lowest SL-T]],"X","")</f>
        <v>X</v>
      </c>
      <c r="J94" s="160" t="s">
        <v>90</v>
      </c>
      <c r="K94" s="161"/>
      <c r="L94" s="162" t="s">
        <v>9</v>
      </c>
      <c r="M94" s="162" t="s">
        <v>9</v>
      </c>
      <c r="N94" s="162" t="s">
        <v>9</v>
      </c>
      <c r="O94" s="162" t="s">
        <v>9</v>
      </c>
      <c r="P94" s="162" t="s">
        <v>9</v>
      </c>
      <c r="Q94" s="162" t="s">
        <v>9</v>
      </c>
      <c r="R94" s="162" t="s">
        <v>9</v>
      </c>
      <c r="S94" s="162" t="s">
        <v>9</v>
      </c>
      <c r="T94" s="162" t="s">
        <v>9</v>
      </c>
      <c r="U94" s="162" t="s">
        <v>9</v>
      </c>
      <c r="V94" s="162" t="s">
        <v>9</v>
      </c>
      <c r="W94" s="162" t="s">
        <v>9</v>
      </c>
      <c r="X94" s="162" t="s">
        <v>9</v>
      </c>
      <c r="Y94" s="162" t="s">
        <v>9</v>
      </c>
      <c r="Z94" s="162" t="s">
        <v>9</v>
      </c>
      <c r="AA94" s="162" t="s">
        <v>9</v>
      </c>
      <c r="AB94" s="162" t="s">
        <v>9</v>
      </c>
      <c r="AC94" s="162" t="s">
        <v>9</v>
      </c>
      <c r="AD94" s="162" t="s">
        <v>9</v>
      </c>
      <c r="AE94" s="162" t="s">
        <v>9</v>
      </c>
      <c r="AF94" s="162" t="s">
        <v>9</v>
      </c>
      <c r="AG94" s="162" t="s">
        <v>9</v>
      </c>
      <c r="AH94" s="162" t="s">
        <v>9</v>
      </c>
      <c r="AI94" s="162" t="s">
        <v>9</v>
      </c>
      <c r="AJ94" s="162" t="s">
        <v>9</v>
      </c>
      <c r="AK94" s="162" t="s">
        <v>9</v>
      </c>
      <c r="AL94" s="162" t="s">
        <v>9</v>
      </c>
      <c r="AM94" s="162" t="s">
        <v>9</v>
      </c>
      <c r="AN94" s="162" t="s">
        <v>9</v>
      </c>
      <c r="AO94" s="162" t="s">
        <v>9</v>
      </c>
      <c r="AP94" s="162" t="s">
        <v>9</v>
      </c>
      <c r="AQ94" s="162" t="s">
        <v>9</v>
      </c>
      <c r="AR94" s="162" t="s">
        <v>9</v>
      </c>
      <c r="AS94" s="162" t="s">
        <v>9</v>
      </c>
      <c r="AT94" s="162" t="s">
        <v>9</v>
      </c>
      <c r="AU94" s="162" t="s">
        <v>9</v>
      </c>
      <c r="AV94" s="162" t="s">
        <v>9</v>
      </c>
      <c r="AW94" s="162" t="s">
        <v>9</v>
      </c>
      <c r="AX94" s="162" t="s">
        <v>9</v>
      </c>
      <c r="AY94" s="162" t="s">
        <v>9</v>
      </c>
      <c r="AZ94" s="162" t="s">
        <v>9</v>
      </c>
      <c r="BA94" s="162" t="s">
        <v>9</v>
      </c>
      <c r="BB94" s="162" t="s">
        <v>9</v>
      </c>
      <c r="BC94" s="162" t="s">
        <v>9</v>
      </c>
      <c r="BD94" s="162" t="s">
        <v>9</v>
      </c>
      <c r="BE94" s="162" t="s">
        <v>9</v>
      </c>
      <c r="BF94" s="162" t="s">
        <v>9</v>
      </c>
      <c r="BG94" s="162" t="s">
        <v>9</v>
      </c>
      <c r="BH94" s="162" t="s">
        <v>9</v>
      </c>
      <c r="BI94" s="162" t="s">
        <v>9</v>
      </c>
      <c r="BJ94" s="162" t="s">
        <v>9</v>
      </c>
      <c r="BK94" s="162" t="s">
        <v>9</v>
      </c>
      <c r="BL94" s="162" t="s">
        <v>9</v>
      </c>
      <c r="BM94" s="162" t="s">
        <v>9</v>
      </c>
      <c r="BN94" s="162" t="s">
        <v>9</v>
      </c>
      <c r="BO94" s="162" t="s">
        <v>9</v>
      </c>
      <c r="BP94" s="162" t="s">
        <v>9</v>
      </c>
      <c r="BQ94" s="162" t="s">
        <v>9</v>
      </c>
      <c r="BR94" s="162" t="s">
        <v>9</v>
      </c>
      <c r="BS94" s="194"/>
    </row>
    <row r="95" spans="1:71">
      <c r="A95" s="145" t="s">
        <v>265</v>
      </c>
      <c r="B95" s="145" t="s">
        <v>53</v>
      </c>
      <c r="C95" s="145">
        <v>1</v>
      </c>
      <c r="D95" s="146" t="s">
        <v>607</v>
      </c>
      <c r="E95" s="147" t="str">
        <f>IF(COUNTIF(Measure_62443_3_3[[#This Row],[G 0.13 Interception of Compromising Interference Signals]:[OPS.1.1.3.8 Manipulation of data and tools during patch and change management]],"P")&gt;0,"X","")</f>
        <v/>
      </c>
      <c r="F95" s="147" t="str">
        <f>IF(OR(Measure_62443_3_3[[#This Row],[Requirement Selected (Prefulfilled)]]="X",Measure_62443_3_3[[#This Row],[Relevance revoked]]="Yes"),"X","")</f>
        <v/>
      </c>
      <c r="G95" s="147" t="str">
        <f>IF(COUNTIF(Measure_62443_3_3[[#This Row],[G 0.13 Interception of Compromising Interference Signals]:[OPS.1.1.3.8 Manipulation of data and tools during patch and change management]],"P")&gt;0,"X","")</f>
        <v/>
      </c>
      <c r="H95" s="147" t="str">
        <f>IF(OR(Measure_62443_3_3[[#This Row],[Requirement Selected (Prefulfilled + Mitigating)]]="X",Measure_62443_3_3[[#This Row],[Relevance revoked]]="Yes"),"X","")</f>
        <v/>
      </c>
      <c r="I95" s="148" t="str">
        <f>IF(VLOOKUP(Measure_62443_3_3[[#This Row],[FR]],'SL-T'!$A$5:$B$11,2,FALSE)&gt;=Measure_62443_3_3[[#This Row],[lowest SL-T]],"X","")</f>
        <v>X</v>
      </c>
      <c r="J95" s="160" t="s">
        <v>90</v>
      </c>
      <c r="K95" s="161"/>
      <c r="L95" s="162" t="s">
        <v>9</v>
      </c>
      <c r="M95" s="162" t="s">
        <v>9</v>
      </c>
      <c r="N95" s="162" t="s">
        <v>9</v>
      </c>
      <c r="O95" s="162" t="s">
        <v>9</v>
      </c>
      <c r="P95" s="162" t="s">
        <v>9</v>
      </c>
      <c r="Q95" s="162" t="s">
        <v>9</v>
      </c>
      <c r="R95" s="162" t="s">
        <v>9</v>
      </c>
      <c r="S95" s="162" t="s">
        <v>9</v>
      </c>
      <c r="T95" s="162" t="s">
        <v>9</v>
      </c>
      <c r="U95" s="162" t="s">
        <v>9</v>
      </c>
      <c r="V95" s="162" t="s">
        <v>9</v>
      </c>
      <c r="W95" s="162" t="s">
        <v>9</v>
      </c>
      <c r="X95" s="162" t="s">
        <v>9</v>
      </c>
      <c r="Y95" s="162" t="s">
        <v>9</v>
      </c>
      <c r="Z95" s="162" t="s">
        <v>9</v>
      </c>
      <c r="AA95" s="162" t="s">
        <v>9</v>
      </c>
      <c r="AB95" s="162" t="s">
        <v>9</v>
      </c>
      <c r="AC95" s="162" t="s">
        <v>9</v>
      </c>
      <c r="AD95" s="162" t="s">
        <v>9</v>
      </c>
      <c r="AE95" s="162" t="s">
        <v>9</v>
      </c>
      <c r="AF95" s="162" t="s">
        <v>9</v>
      </c>
      <c r="AG95" s="162" t="s">
        <v>9</v>
      </c>
      <c r="AH95" s="162" t="s">
        <v>9</v>
      </c>
      <c r="AI95" s="162" t="s">
        <v>9</v>
      </c>
      <c r="AJ95" s="162" t="s">
        <v>9</v>
      </c>
      <c r="AK95" s="162" t="s">
        <v>9</v>
      </c>
      <c r="AL95" s="162" t="s">
        <v>9</v>
      </c>
      <c r="AM95" s="162" t="s">
        <v>9</v>
      </c>
      <c r="AN95" s="162" t="s">
        <v>9</v>
      </c>
      <c r="AO95" s="162" t="s">
        <v>9</v>
      </c>
      <c r="AP95" s="162" t="s">
        <v>9</v>
      </c>
      <c r="AQ95" s="162" t="s">
        <v>9</v>
      </c>
      <c r="AR95" s="162" t="s">
        <v>9</v>
      </c>
      <c r="AS95" s="162" t="s">
        <v>9</v>
      </c>
      <c r="AT95" s="162" t="s">
        <v>9</v>
      </c>
      <c r="AU95" s="162" t="s">
        <v>9</v>
      </c>
      <c r="AV95" s="162" t="s">
        <v>9</v>
      </c>
      <c r="AW95" s="162" t="s">
        <v>9</v>
      </c>
      <c r="AX95" s="162" t="s">
        <v>9</v>
      </c>
      <c r="AY95" s="162" t="s">
        <v>9</v>
      </c>
      <c r="AZ95" s="162" t="s">
        <v>9</v>
      </c>
      <c r="BA95" s="162" t="s">
        <v>9</v>
      </c>
      <c r="BB95" s="162" t="s">
        <v>9</v>
      </c>
      <c r="BC95" s="162" t="s">
        <v>9</v>
      </c>
      <c r="BD95" s="162" t="s">
        <v>9</v>
      </c>
      <c r="BE95" s="162" t="s">
        <v>9</v>
      </c>
      <c r="BF95" s="162" t="s">
        <v>9</v>
      </c>
      <c r="BG95" s="162" t="s">
        <v>9</v>
      </c>
      <c r="BH95" s="162" t="s">
        <v>9</v>
      </c>
      <c r="BI95" s="162" t="s">
        <v>9</v>
      </c>
      <c r="BJ95" s="162" t="s">
        <v>9</v>
      </c>
      <c r="BK95" s="162" t="s">
        <v>9</v>
      </c>
      <c r="BL95" s="162" t="s">
        <v>9</v>
      </c>
      <c r="BM95" s="162" t="s">
        <v>9</v>
      </c>
      <c r="BN95" s="162" t="s">
        <v>9</v>
      </c>
      <c r="BO95" s="162" t="s">
        <v>9</v>
      </c>
      <c r="BP95" s="162" t="s">
        <v>9</v>
      </c>
      <c r="BQ95" s="162" t="s">
        <v>9</v>
      </c>
      <c r="BR95" s="162" t="s">
        <v>9</v>
      </c>
      <c r="BS95" s="194"/>
    </row>
    <row r="96" spans="1:71">
      <c r="A96" s="145" t="s">
        <v>266</v>
      </c>
      <c r="B96" s="145" t="s">
        <v>53</v>
      </c>
      <c r="C96" s="145">
        <v>2</v>
      </c>
      <c r="D96" s="146" t="s">
        <v>607</v>
      </c>
      <c r="E96" s="147" t="str">
        <f>IF(COUNTIF(Measure_62443_3_3[[#This Row],[G 0.13 Interception of Compromising Interference Signals]:[OPS.1.1.3.8 Manipulation of data and tools during patch and change management]],"P")&gt;0,"X","")</f>
        <v/>
      </c>
      <c r="F96" s="147" t="str">
        <f>IF(OR(Measure_62443_3_3[[#This Row],[Requirement Selected (Prefulfilled)]]="X",Measure_62443_3_3[[#This Row],[Relevance revoked]]="Yes"),"X","")</f>
        <v/>
      </c>
      <c r="G96" s="147" t="str">
        <f>IF(COUNTIF(Measure_62443_3_3[[#This Row],[G 0.13 Interception of Compromising Interference Signals]:[OPS.1.1.3.8 Manipulation of data and tools during patch and change management]],"P")&gt;0,"X","")</f>
        <v/>
      </c>
      <c r="H96" s="147" t="str">
        <f>IF(OR(Measure_62443_3_3[[#This Row],[Requirement Selected (Prefulfilled + Mitigating)]]="X",Measure_62443_3_3[[#This Row],[Relevance revoked]]="Yes"),"X","")</f>
        <v/>
      </c>
      <c r="I96" s="148" t="str">
        <f>IF(VLOOKUP(Measure_62443_3_3[[#This Row],[FR]],'SL-T'!$A$5:$B$11,2,FALSE)&gt;=Measure_62443_3_3[[#This Row],[lowest SL-T]],"X","")</f>
        <v>X</v>
      </c>
      <c r="J96" s="160" t="s">
        <v>90</v>
      </c>
      <c r="K96" s="161"/>
      <c r="L96" s="162" t="s">
        <v>9</v>
      </c>
      <c r="M96" s="162" t="s">
        <v>9</v>
      </c>
      <c r="N96" s="162" t="s">
        <v>9</v>
      </c>
      <c r="O96" s="162" t="s">
        <v>9</v>
      </c>
      <c r="P96" s="162" t="s">
        <v>9</v>
      </c>
      <c r="Q96" s="162" t="s">
        <v>9</v>
      </c>
      <c r="R96" s="162" t="s">
        <v>9</v>
      </c>
      <c r="S96" s="162" t="s">
        <v>9</v>
      </c>
      <c r="T96" s="162" t="s">
        <v>9</v>
      </c>
      <c r="U96" s="162" t="s">
        <v>9</v>
      </c>
      <c r="V96" s="162" t="s">
        <v>9</v>
      </c>
      <c r="W96" s="162" t="s">
        <v>9</v>
      </c>
      <c r="X96" s="162" t="s">
        <v>9</v>
      </c>
      <c r="Y96" s="162" t="s">
        <v>9</v>
      </c>
      <c r="Z96" s="162" t="s">
        <v>9</v>
      </c>
      <c r="AA96" s="162" t="s">
        <v>9</v>
      </c>
      <c r="AB96" s="162" t="s">
        <v>9</v>
      </c>
      <c r="AC96" s="162" t="s">
        <v>9</v>
      </c>
      <c r="AD96" s="162" t="s">
        <v>9</v>
      </c>
      <c r="AE96" s="162" t="s">
        <v>9</v>
      </c>
      <c r="AF96" s="162" t="s">
        <v>9</v>
      </c>
      <c r="AG96" s="162" t="s">
        <v>9</v>
      </c>
      <c r="AH96" s="162" t="s">
        <v>9</v>
      </c>
      <c r="AI96" s="162" t="s">
        <v>9</v>
      </c>
      <c r="AJ96" s="162" t="s">
        <v>9</v>
      </c>
      <c r="AK96" s="162" t="s">
        <v>9</v>
      </c>
      <c r="AL96" s="162" t="s">
        <v>9</v>
      </c>
      <c r="AM96" s="162" t="s">
        <v>9</v>
      </c>
      <c r="AN96" s="162" t="s">
        <v>9</v>
      </c>
      <c r="AO96" s="162" t="s">
        <v>9</v>
      </c>
      <c r="AP96" s="162" t="s">
        <v>9</v>
      </c>
      <c r="AQ96" s="162" t="s">
        <v>9</v>
      </c>
      <c r="AR96" s="162" t="s">
        <v>9</v>
      </c>
      <c r="AS96" s="162" t="s">
        <v>9</v>
      </c>
      <c r="AT96" s="162" t="s">
        <v>9</v>
      </c>
      <c r="AU96" s="162" t="s">
        <v>9</v>
      </c>
      <c r="AV96" s="162" t="s">
        <v>9</v>
      </c>
      <c r="AW96" s="162" t="s">
        <v>9</v>
      </c>
      <c r="AX96" s="162" t="s">
        <v>9</v>
      </c>
      <c r="AY96" s="162" t="s">
        <v>9</v>
      </c>
      <c r="AZ96" s="162" t="s">
        <v>9</v>
      </c>
      <c r="BA96" s="162" t="s">
        <v>9</v>
      </c>
      <c r="BB96" s="162" t="s">
        <v>9</v>
      </c>
      <c r="BC96" s="162" t="s">
        <v>9</v>
      </c>
      <c r="BD96" s="162" t="s">
        <v>9</v>
      </c>
      <c r="BE96" s="162" t="s">
        <v>9</v>
      </c>
      <c r="BF96" s="162" t="s">
        <v>9</v>
      </c>
      <c r="BG96" s="162" t="s">
        <v>9</v>
      </c>
      <c r="BH96" s="162" t="s">
        <v>9</v>
      </c>
      <c r="BI96" s="162" t="s">
        <v>9</v>
      </c>
      <c r="BJ96" s="162" t="s">
        <v>9</v>
      </c>
      <c r="BK96" s="162" t="s">
        <v>9</v>
      </c>
      <c r="BL96" s="162" t="s">
        <v>9</v>
      </c>
      <c r="BM96" s="162" t="s">
        <v>9</v>
      </c>
      <c r="BN96" s="162" t="s">
        <v>9</v>
      </c>
      <c r="BO96" s="162" t="s">
        <v>9</v>
      </c>
      <c r="BP96" s="162" t="s">
        <v>9</v>
      </c>
      <c r="BQ96" s="162" t="s">
        <v>9</v>
      </c>
      <c r="BR96" s="162" t="s">
        <v>9</v>
      </c>
      <c r="BS96" s="194"/>
    </row>
    <row r="97" spans="1:71">
      <c r="A97" s="145" t="s">
        <v>267</v>
      </c>
      <c r="B97" s="145" t="s">
        <v>53</v>
      </c>
      <c r="C97" s="145">
        <v>3</v>
      </c>
      <c r="D97" s="146" t="s">
        <v>607</v>
      </c>
      <c r="E97" s="147" t="str">
        <f>IF(COUNTIF(Measure_62443_3_3[[#This Row],[G 0.13 Interception of Compromising Interference Signals]:[OPS.1.1.3.8 Manipulation of data and tools during patch and change management]],"P")&gt;0,"X","")</f>
        <v/>
      </c>
      <c r="F97" s="147" t="str">
        <f>IF(OR(Measure_62443_3_3[[#This Row],[Requirement Selected (Prefulfilled)]]="X",Measure_62443_3_3[[#This Row],[Relevance revoked]]="Yes"),"X","")</f>
        <v/>
      </c>
      <c r="G97" s="147" t="str">
        <f>IF(COUNTIF(Measure_62443_3_3[[#This Row],[G 0.13 Interception of Compromising Interference Signals]:[OPS.1.1.3.8 Manipulation of data and tools during patch and change management]],"P")&gt;0,"X","")</f>
        <v/>
      </c>
      <c r="H97" s="147" t="str">
        <f>IF(OR(Measure_62443_3_3[[#This Row],[Requirement Selected (Prefulfilled + Mitigating)]]="X",Measure_62443_3_3[[#This Row],[Relevance revoked]]="Yes"),"X","")</f>
        <v/>
      </c>
      <c r="I97" s="148" t="str">
        <f>IF(VLOOKUP(Measure_62443_3_3[[#This Row],[FR]],'SL-T'!$A$5:$B$11,2,FALSE)&gt;=Measure_62443_3_3[[#This Row],[lowest SL-T]],"X","")</f>
        <v>X</v>
      </c>
      <c r="J97" s="160" t="s">
        <v>90</v>
      </c>
      <c r="K97" s="161"/>
      <c r="L97" s="162" t="s">
        <v>9</v>
      </c>
      <c r="M97" s="162" t="s">
        <v>9</v>
      </c>
      <c r="N97" s="162" t="s">
        <v>9</v>
      </c>
      <c r="O97" s="162" t="s">
        <v>9</v>
      </c>
      <c r="P97" s="162" t="s">
        <v>9</v>
      </c>
      <c r="Q97" s="162" t="s">
        <v>9</v>
      </c>
      <c r="R97" s="162" t="s">
        <v>9</v>
      </c>
      <c r="S97" s="162" t="s">
        <v>9</v>
      </c>
      <c r="T97" s="162" t="s">
        <v>9</v>
      </c>
      <c r="U97" s="162" t="s">
        <v>9</v>
      </c>
      <c r="V97" s="162" t="s">
        <v>9</v>
      </c>
      <c r="W97" s="162" t="s">
        <v>9</v>
      </c>
      <c r="X97" s="162" t="s">
        <v>9</v>
      </c>
      <c r="Y97" s="162" t="s">
        <v>9</v>
      </c>
      <c r="Z97" s="162" t="s">
        <v>9</v>
      </c>
      <c r="AA97" s="162" t="s">
        <v>9</v>
      </c>
      <c r="AB97" s="162" t="s">
        <v>9</v>
      </c>
      <c r="AC97" s="162" t="s">
        <v>9</v>
      </c>
      <c r="AD97" s="162" t="s">
        <v>9</v>
      </c>
      <c r="AE97" s="162" t="s">
        <v>9</v>
      </c>
      <c r="AF97" s="162" t="s">
        <v>9</v>
      </c>
      <c r="AG97" s="162" t="s">
        <v>9</v>
      </c>
      <c r="AH97" s="162" t="s">
        <v>9</v>
      </c>
      <c r="AI97" s="162" t="s">
        <v>9</v>
      </c>
      <c r="AJ97" s="162" t="s">
        <v>9</v>
      </c>
      <c r="AK97" s="162" t="s">
        <v>9</v>
      </c>
      <c r="AL97" s="162" t="s">
        <v>9</v>
      </c>
      <c r="AM97" s="162" t="s">
        <v>9</v>
      </c>
      <c r="AN97" s="162" t="s">
        <v>9</v>
      </c>
      <c r="AO97" s="162" t="s">
        <v>9</v>
      </c>
      <c r="AP97" s="162" t="s">
        <v>9</v>
      </c>
      <c r="AQ97" s="162" t="s">
        <v>9</v>
      </c>
      <c r="AR97" s="162" t="s">
        <v>9</v>
      </c>
      <c r="AS97" s="162" t="s">
        <v>9</v>
      </c>
      <c r="AT97" s="162" t="s">
        <v>9</v>
      </c>
      <c r="AU97" s="162" t="s">
        <v>9</v>
      </c>
      <c r="AV97" s="162" t="s">
        <v>9</v>
      </c>
      <c r="AW97" s="162" t="s">
        <v>9</v>
      </c>
      <c r="AX97" s="162" t="s">
        <v>9</v>
      </c>
      <c r="AY97" s="162" t="s">
        <v>9</v>
      </c>
      <c r="AZ97" s="162" t="s">
        <v>9</v>
      </c>
      <c r="BA97" s="162" t="s">
        <v>9</v>
      </c>
      <c r="BB97" s="162" t="s">
        <v>9</v>
      </c>
      <c r="BC97" s="162" t="s">
        <v>9</v>
      </c>
      <c r="BD97" s="162" t="s">
        <v>9</v>
      </c>
      <c r="BE97" s="162" t="s">
        <v>9</v>
      </c>
      <c r="BF97" s="162" t="s">
        <v>9</v>
      </c>
      <c r="BG97" s="162" t="s">
        <v>9</v>
      </c>
      <c r="BH97" s="162" t="s">
        <v>9</v>
      </c>
      <c r="BI97" s="162" t="s">
        <v>9</v>
      </c>
      <c r="BJ97" s="162" t="s">
        <v>9</v>
      </c>
      <c r="BK97" s="162" t="s">
        <v>9</v>
      </c>
      <c r="BL97" s="162" t="s">
        <v>9</v>
      </c>
      <c r="BM97" s="162" t="s">
        <v>9</v>
      </c>
      <c r="BN97" s="162" t="s">
        <v>9</v>
      </c>
      <c r="BO97" s="162" t="s">
        <v>9</v>
      </c>
      <c r="BP97" s="162" t="s">
        <v>9</v>
      </c>
      <c r="BQ97" s="162" t="s">
        <v>9</v>
      </c>
      <c r="BR97" s="162" t="s">
        <v>9</v>
      </c>
      <c r="BS97" s="194"/>
    </row>
    <row r="98" spans="1:71">
      <c r="A98" s="145" t="s">
        <v>268</v>
      </c>
      <c r="B98" s="145" t="s">
        <v>53</v>
      </c>
      <c r="C98" s="145">
        <v>1</v>
      </c>
      <c r="D98" s="146" t="s">
        <v>607</v>
      </c>
      <c r="E98" s="147" t="str">
        <f>IF(COUNTIF(Measure_62443_3_3[[#This Row],[G 0.13 Interception of Compromising Interference Signals]:[OPS.1.1.3.8 Manipulation of data and tools during patch and change management]],"P")&gt;0,"X","")</f>
        <v/>
      </c>
      <c r="F98" s="147" t="str">
        <f>IF(OR(Measure_62443_3_3[[#This Row],[Requirement Selected (Prefulfilled)]]="X",Measure_62443_3_3[[#This Row],[Relevance revoked]]="Yes"),"X","")</f>
        <v/>
      </c>
      <c r="G98" s="147" t="str">
        <f>IF(COUNTIF(Measure_62443_3_3[[#This Row],[G 0.13 Interception of Compromising Interference Signals]:[OPS.1.1.3.8 Manipulation of data and tools during patch and change management]],"P")&gt;0,"X","")</f>
        <v/>
      </c>
      <c r="H98" s="147" t="str">
        <f>IF(OR(Measure_62443_3_3[[#This Row],[Requirement Selected (Prefulfilled + Mitigating)]]="X",Measure_62443_3_3[[#This Row],[Relevance revoked]]="Yes"),"X","")</f>
        <v/>
      </c>
      <c r="I98" s="148" t="str">
        <f>IF(VLOOKUP(Measure_62443_3_3[[#This Row],[FR]],'SL-T'!$A$5:$B$11,2,FALSE)&gt;=Measure_62443_3_3[[#This Row],[lowest SL-T]],"X","")</f>
        <v>X</v>
      </c>
      <c r="J98" s="160" t="s">
        <v>90</v>
      </c>
      <c r="K98" s="161"/>
      <c r="L98" s="162" t="s">
        <v>9</v>
      </c>
      <c r="M98" s="162" t="s">
        <v>9</v>
      </c>
      <c r="N98" s="162" t="s">
        <v>9</v>
      </c>
      <c r="O98" s="162" t="s">
        <v>9</v>
      </c>
      <c r="P98" s="162" t="s">
        <v>9</v>
      </c>
      <c r="Q98" s="162" t="s">
        <v>9</v>
      </c>
      <c r="R98" s="162" t="s">
        <v>9</v>
      </c>
      <c r="S98" s="162" t="s">
        <v>9</v>
      </c>
      <c r="T98" s="162" t="s">
        <v>9</v>
      </c>
      <c r="U98" s="162" t="s">
        <v>9</v>
      </c>
      <c r="V98" s="162" t="s">
        <v>9</v>
      </c>
      <c r="W98" s="162" t="s">
        <v>9</v>
      </c>
      <c r="X98" s="162" t="s">
        <v>9</v>
      </c>
      <c r="Y98" s="162" t="s">
        <v>9</v>
      </c>
      <c r="Z98" s="162" t="s">
        <v>9</v>
      </c>
      <c r="AA98" s="162" t="s">
        <v>9</v>
      </c>
      <c r="AB98" s="162" t="s">
        <v>9</v>
      </c>
      <c r="AC98" s="162" t="s">
        <v>9</v>
      </c>
      <c r="AD98" s="162" t="s">
        <v>9</v>
      </c>
      <c r="AE98" s="162" t="s">
        <v>9</v>
      </c>
      <c r="AF98" s="162" t="s">
        <v>9</v>
      </c>
      <c r="AG98" s="162" t="s">
        <v>9</v>
      </c>
      <c r="AH98" s="162" t="s">
        <v>9</v>
      </c>
      <c r="AI98" s="162" t="s">
        <v>9</v>
      </c>
      <c r="AJ98" s="162" t="s">
        <v>9</v>
      </c>
      <c r="AK98" s="162" t="s">
        <v>9</v>
      </c>
      <c r="AL98" s="162" t="s">
        <v>9</v>
      </c>
      <c r="AM98" s="162" t="s">
        <v>9</v>
      </c>
      <c r="AN98" s="162" t="s">
        <v>9</v>
      </c>
      <c r="AO98" s="162" t="s">
        <v>9</v>
      </c>
      <c r="AP98" s="162" t="s">
        <v>9</v>
      </c>
      <c r="AQ98" s="162" t="s">
        <v>9</v>
      </c>
      <c r="AR98" s="162" t="s">
        <v>9</v>
      </c>
      <c r="AS98" s="162" t="s">
        <v>9</v>
      </c>
      <c r="AT98" s="162" t="s">
        <v>9</v>
      </c>
      <c r="AU98" s="162" t="s">
        <v>9</v>
      </c>
      <c r="AV98" s="162" t="s">
        <v>9</v>
      </c>
      <c r="AW98" s="162" t="s">
        <v>9</v>
      </c>
      <c r="AX98" s="162" t="s">
        <v>9</v>
      </c>
      <c r="AY98" s="162" t="s">
        <v>9</v>
      </c>
      <c r="AZ98" s="162" t="s">
        <v>9</v>
      </c>
      <c r="BA98" s="162" t="s">
        <v>9</v>
      </c>
      <c r="BB98" s="162" t="s">
        <v>9</v>
      </c>
      <c r="BC98" s="162" t="s">
        <v>9</v>
      </c>
      <c r="BD98" s="162" t="s">
        <v>9</v>
      </c>
      <c r="BE98" s="162" t="s">
        <v>9</v>
      </c>
      <c r="BF98" s="162" t="s">
        <v>9</v>
      </c>
      <c r="BG98" s="162" t="s">
        <v>9</v>
      </c>
      <c r="BH98" s="162" t="s">
        <v>9</v>
      </c>
      <c r="BI98" s="162" t="s">
        <v>9</v>
      </c>
      <c r="BJ98" s="162" t="s">
        <v>9</v>
      </c>
      <c r="BK98" s="162" t="s">
        <v>9</v>
      </c>
      <c r="BL98" s="162" t="s">
        <v>9</v>
      </c>
      <c r="BM98" s="162" t="s">
        <v>9</v>
      </c>
      <c r="BN98" s="162" t="s">
        <v>9</v>
      </c>
      <c r="BO98" s="162" t="s">
        <v>9</v>
      </c>
      <c r="BP98" s="162" t="s">
        <v>9</v>
      </c>
      <c r="BQ98" s="162" t="s">
        <v>9</v>
      </c>
      <c r="BR98" s="162" t="s">
        <v>9</v>
      </c>
      <c r="BS98" s="194"/>
    </row>
    <row r="99" spans="1:71">
      <c r="A99" s="145" t="s">
        <v>269</v>
      </c>
      <c r="B99" s="145" t="s">
        <v>53</v>
      </c>
      <c r="C99" s="145">
        <v>1</v>
      </c>
      <c r="D99" s="146" t="s">
        <v>607</v>
      </c>
      <c r="E99" s="147" t="str">
        <f>IF(COUNTIF(Measure_62443_3_3[[#This Row],[G 0.13 Interception of Compromising Interference Signals]:[OPS.1.1.3.8 Manipulation of data and tools during patch and change management]],"P")&gt;0,"X","")</f>
        <v/>
      </c>
      <c r="F99" s="147" t="str">
        <f>IF(OR(Measure_62443_3_3[[#This Row],[Requirement Selected (Prefulfilled)]]="X",Measure_62443_3_3[[#This Row],[Relevance revoked]]="Yes"),"X","")</f>
        <v/>
      </c>
      <c r="G99" s="147" t="str">
        <f>IF(COUNTIF(Measure_62443_3_3[[#This Row],[G 0.13 Interception of Compromising Interference Signals]:[OPS.1.1.3.8 Manipulation of data and tools during patch and change management]],"P")&gt;0,"X","")</f>
        <v/>
      </c>
      <c r="H99" s="147" t="str">
        <f>IF(OR(Measure_62443_3_3[[#This Row],[Requirement Selected (Prefulfilled + Mitigating)]]="X",Measure_62443_3_3[[#This Row],[Relevance revoked]]="Yes"),"X","")</f>
        <v/>
      </c>
      <c r="I99" s="148" t="str">
        <f>IF(VLOOKUP(Measure_62443_3_3[[#This Row],[FR]],'SL-T'!$A$5:$B$11,2,FALSE)&gt;=Measure_62443_3_3[[#This Row],[lowest SL-T]],"X","")</f>
        <v>X</v>
      </c>
      <c r="J99" s="160" t="s">
        <v>90</v>
      </c>
      <c r="K99" s="161"/>
      <c r="L99" s="162" t="s">
        <v>9</v>
      </c>
      <c r="M99" s="162" t="s">
        <v>9</v>
      </c>
      <c r="N99" s="162" t="s">
        <v>9</v>
      </c>
      <c r="O99" s="162" t="s">
        <v>9</v>
      </c>
      <c r="P99" s="162" t="s">
        <v>9</v>
      </c>
      <c r="Q99" s="162" t="s">
        <v>9</v>
      </c>
      <c r="R99" s="162" t="s">
        <v>9</v>
      </c>
      <c r="S99" s="162" t="s">
        <v>9</v>
      </c>
      <c r="T99" s="162" t="s">
        <v>9</v>
      </c>
      <c r="U99" s="162" t="s">
        <v>9</v>
      </c>
      <c r="V99" s="162" t="s">
        <v>9</v>
      </c>
      <c r="W99" s="162" t="s">
        <v>9</v>
      </c>
      <c r="X99" s="162" t="s">
        <v>9</v>
      </c>
      <c r="Y99" s="162" t="s">
        <v>9</v>
      </c>
      <c r="Z99" s="162" t="s">
        <v>9</v>
      </c>
      <c r="AA99" s="162" t="s">
        <v>9</v>
      </c>
      <c r="AB99" s="162" t="s">
        <v>9</v>
      </c>
      <c r="AC99" s="162" t="s">
        <v>9</v>
      </c>
      <c r="AD99" s="162" t="s">
        <v>9</v>
      </c>
      <c r="AE99" s="162" t="s">
        <v>9</v>
      </c>
      <c r="AF99" s="162" t="s">
        <v>9</v>
      </c>
      <c r="AG99" s="162" t="s">
        <v>9</v>
      </c>
      <c r="AH99" s="162" t="s">
        <v>9</v>
      </c>
      <c r="AI99" s="162" t="s">
        <v>9</v>
      </c>
      <c r="AJ99" s="162" t="s">
        <v>9</v>
      </c>
      <c r="AK99" s="162" t="s">
        <v>9</v>
      </c>
      <c r="AL99" s="162" t="s">
        <v>9</v>
      </c>
      <c r="AM99" s="162" t="s">
        <v>9</v>
      </c>
      <c r="AN99" s="162" t="s">
        <v>9</v>
      </c>
      <c r="AO99" s="162" t="s">
        <v>9</v>
      </c>
      <c r="AP99" s="162" t="s">
        <v>9</v>
      </c>
      <c r="AQ99" s="162" t="s">
        <v>9</v>
      </c>
      <c r="AR99" s="162" t="s">
        <v>9</v>
      </c>
      <c r="AS99" s="162" t="s">
        <v>9</v>
      </c>
      <c r="AT99" s="162" t="s">
        <v>9</v>
      </c>
      <c r="AU99" s="162" t="s">
        <v>9</v>
      </c>
      <c r="AV99" s="162" t="s">
        <v>9</v>
      </c>
      <c r="AW99" s="162" t="s">
        <v>9</v>
      </c>
      <c r="AX99" s="162" t="s">
        <v>9</v>
      </c>
      <c r="AY99" s="162" t="s">
        <v>9</v>
      </c>
      <c r="AZ99" s="162" t="s">
        <v>9</v>
      </c>
      <c r="BA99" s="162" t="s">
        <v>9</v>
      </c>
      <c r="BB99" s="162" t="s">
        <v>9</v>
      </c>
      <c r="BC99" s="162" t="s">
        <v>9</v>
      </c>
      <c r="BD99" s="162" t="s">
        <v>9</v>
      </c>
      <c r="BE99" s="162" t="s">
        <v>9</v>
      </c>
      <c r="BF99" s="162" t="s">
        <v>9</v>
      </c>
      <c r="BG99" s="162" t="s">
        <v>9</v>
      </c>
      <c r="BH99" s="162" t="s">
        <v>9</v>
      </c>
      <c r="BI99" s="162" t="s">
        <v>9</v>
      </c>
      <c r="BJ99" s="162" t="s">
        <v>9</v>
      </c>
      <c r="BK99" s="162" t="s">
        <v>9</v>
      </c>
      <c r="BL99" s="162" t="s">
        <v>9</v>
      </c>
      <c r="BM99" s="162" t="s">
        <v>9</v>
      </c>
      <c r="BN99" s="162" t="s">
        <v>9</v>
      </c>
      <c r="BO99" s="162" t="s">
        <v>9</v>
      </c>
      <c r="BP99" s="162" t="s">
        <v>9</v>
      </c>
      <c r="BQ99" s="162" t="s">
        <v>9</v>
      </c>
      <c r="BR99" s="162" t="s">
        <v>9</v>
      </c>
      <c r="BS99" s="194"/>
    </row>
    <row r="100" spans="1:71">
      <c r="A100" s="145" t="s">
        <v>270</v>
      </c>
      <c r="B100" s="145" t="s">
        <v>53</v>
      </c>
      <c r="C100" s="145">
        <v>1</v>
      </c>
      <c r="D100" s="146" t="s">
        <v>607</v>
      </c>
      <c r="E100" s="147" t="str">
        <f>IF(COUNTIF(Measure_62443_3_3[[#This Row],[G 0.13 Interception of Compromising Interference Signals]:[OPS.1.1.3.8 Manipulation of data and tools during patch and change management]],"P")&gt;0,"X","")</f>
        <v/>
      </c>
      <c r="F100" s="147" t="str">
        <f>IF(OR(Measure_62443_3_3[[#This Row],[Requirement Selected (Prefulfilled)]]="X",Measure_62443_3_3[[#This Row],[Relevance revoked]]="Yes"),"X","")</f>
        <v/>
      </c>
      <c r="G100" s="147" t="str">
        <f>IF(COUNTIF(Measure_62443_3_3[[#This Row],[G 0.13 Interception of Compromising Interference Signals]:[OPS.1.1.3.8 Manipulation of data and tools during patch and change management]],"P")&gt;0,"X","")</f>
        <v/>
      </c>
      <c r="H100" s="147" t="str">
        <f>IF(OR(Measure_62443_3_3[[#This Row],[Requirement Selected (Prefulfilled + Mitigating)]]="X",Measure_62443_3_3[[#This Row],[Relevance revoked]]="Yes"),"X","")</f>
        <v/>
      </c>
      <c r="I100" s="148" t="str">
        <f>IF(VLOOKUP(Measure_62443_3_3[[#This Row],[FR]],'SL-T'!$A$5:$B$11,2,FALSE)&gt;=Measure_62443_3_3[[#This Row],[lowest SL-T]],"X","")</f>
        <v>X</v>
      </c>
      <c r="J100" s="160" t="s">
        <v>90</v>
      </c>
      <c r="K100" s="161"/>
      <c r="L100" s="162" t="s">
        <v>9</v>
      </c>
      <c r="M100" s="162" t="s">
        <v>9</v>
      </c>
      <c r="N100" s="162" t="s">
        <v>9</v>
      </c>
      <c r="O100" s="162" t="s">
        <v>9</v>
      </c>
      <c r="P100" s="162" t="s">
        <v>9</v>
      </c>
      <c r="Q100" s="162" t="s">
        <v>9</v>
      </c>
      <c r="R100" s="162" t="s">
        <v>9</v>
      </c>
      <c r="S100" s="162" t="s">
        <v>9</v>
      </c>
      <c r="T100" s="162" t="s">
        <v>9</v>
      </c>
      <c r="U100" s="162" t="s">
        <v>9</v>
      </c>
      <c r="V100" s="162" t="s">
        <v>9</v>
      </c>
      <c r="W100" s="162" t="s">
        <v>9</v>
      </c>
      <c r="X100" s="162" t="s">
        <v>9</v>
      </c>
      <c r="Y100" s="162" t="s">
        <v>9</v>
      </c>
      <c r="Z100" s="162" t="s">
        <v>9</v>
      </c>
      <c r="AA100" s="162" t="s">
        <v>9</v>
      </c>
      <c r="AB100" s="162" t="s">
        <v>9</v>
      </c>
      <c r="AC100" s="162" t="s">
        <v>9</v>
      </c>
      <c r="AD100" s="162" t="s">
        <v>9</v>
      </c>
      <c r="AE100" s="162" t="s">
        <v>9</v>
      </c>
      <c r="AF100" s="162" t="s">
        <v>9</v>
      </c>
      <c r="AG100" s="162" t="s">
        <v>9</v>
      </c>
      <c r="AH100" s="162" t="s">
        <v>9</v>
      </c>
      <c r="AI100" s="162" t="s">
        <v>9</v>
      </c>
      <c r="AJ100" s="162" t="s">
        <v>9</v>
      </c>
      <c r="AK100" s="162" t="s">
        <v>9</v>
      </c>
      <c r="AL100" s="162" t="s">
        <v>9</v>
      </c>
      <c r="AM100" s="162" t="s">
        <v>9</v>
      </c>
      <c r="AN100" s="162" t="s">
        <v>9</v>
      </c>
      <c r="AO100" s="162" t="s">
        <v>9</v>
      </c>
      <c r="AP100" s="162" t="s">
        <v>9</v>
      </c>
      <c r="AQ100" s="162" t="s">
        <v>9</v>
      </c>
      <c r="AR100" s="162" t="s">
        <v>9</v>
      </c>
      <c r="AS100" s="162" t="s">
        <v>9</v>
      </c>
      <c r="AT100" s="162" t="s">
        <v>9</v>
      </c>
      <c r="AU100" s="162" t="s">
        <v>9</v>
      </c>
      <c r="AV100" s="162" t="s">
        <v>9</v>
      </c>
      <c r="AW100" s="162" t="s">
        <v>9</v>
      </c>
      <c r="AX100" s="162" t="s">
        <v>9</v>
      </c>
      <c r="AY100" s="162" t="s">
        <v>9</v>
      </c>
      <c r="AZ100" s="162" t="s">
        <v>9</v>
      </c>
      <c r="BA100" s="162" t="s">
        <v>9</v>
      </c>
      <c r="BB100" s="162" t="s">
        <v>9</v>
      </c>
      <c r="BC100" s="162" t="s">
        <v>9</v>
      </c>
      <c r="BD100" s="162" t="s">
        <v>9</v>
      </c>
      <c r="BE100" s="162" t="s">
        <v>9</v>
      </c>
      <c r="BF100" s="162" t="s">
        <v>9</v>
      </c>
      <c r="BG100" s="162" t="s">
        <v>9</v>
      </c>
      <c r="BH100" s="162" t="s">
        <v>9</v>
      </c>
      <c r="BI100" s="162" t="s">
        <v>9</v>
      </c>
      <c r="BJ100" s="162" t="s">
        <v>9</v>
      </c>
      <c r="BK100" s="162" t="s">
        <v>9</v>
      </c>
      <c r="BL100" s="162" t="s">
        <v>9</v>
      </c>
      <c r="BM100" s="162" t="s">
        <v>9</v>
      </c>
      <c r="BN100" s="162" t="s">
        <v>9</v>
      </c>
      <c r="BO100" s="162" t="s">
        <v>9</v>
      </c>
      <c r="BP100" s="162" t="s">
        <v>9</v>
      </c>
      <c r="BQ100" s="162" t="s">
        <v>9</v>
      </c>
      <c r="BR100" s="162" t="s">
        <v>9</v>
      </c>
      <c r="BS100" s="194"/>
    </row>
    <row r="101" spans="1:71">
      <c r="A101" s="145" t="s">
        <v>271</v>
      </c>
      <c r="B101" s="145" t="s">
        <v>53</v>
      </c>
      <c r="C101" s="145">
        <v>3</v>
      </c>
      <c r="D101" s="146" t="s">
        <v>607</v>
      </c>
      <c r="E101" s="147" t="str">
        <f>IF(COUNTIF(Measure_62443_3_3[[#This Row],[G 0.13 Interception of Compromising Interference Signals]:[OPS.1.1.3.8 Manipulation of data and tools during patch and change management]],"P")&gt;0,"X","")</f>
        <v/>
      </c>
      <c r="F101" s="147" t="str">
        <f>IF(OR(Measure_62443_3_3[[#This Row],[Requirement Selected (Prefulfilled)]]="X",Measure_62443_3_3[[#This Row],[Relevance revoked]]="Yes"),"X","")</f>
        <v/>
      </c>
      <c r="G101" s="147" t="str">
        <f>IF(COUNTIF(Measure_62443_3_3[[#This Row],[G 0.13 Interception of Compromising Interference Signals]:[OPS.1.1.3.8 Manipulation of data and tools during patch and change management]],"P")&gt;0,"X","")</f>
        <v/>
      </c>
      <c r="H101" s="147" t="str">
        <f>IF(OR(Measure_62443_3_3[[#This Row],[Requirement Selected (Prefulfilled + Mitigating)]]="X",Measure_62443_3_3[[#This Row],[Relevance revoked]]="Yes"),"X","")</f>
        <v/>
      </c>
      <c r="I101" s="148" t="str">
        <f>IF(VLOOKUP(Measure_62443_3_3[[#This Row],[FR]],'SL-T'!$A$5:$B$11,2,FALSE)&gt;=Measure_62443_3_3[[#This Row],[lowest SL-T]],"X","")</f>
        <v>X</v>
      </c>
      <c r="J101" s="160" t="s">
        <v>90</v>
      </c>
      <c r="K101" s="161"/>
      <c r="L101" s="162" t="s">
        <v>9</v>
      </c>
      <c r="M101" s="162" t="s">
        <v>9</v>
      </c>
      <c r="N101" s="162" t="s">
        <v>9</v>
      </c>
      <c r="O101" s="162" t="s">
        <v>9</v>
      </c>
      <c r="P101" s="162" t="s">
        <v>9</v>
      </c>
      <c r="Q101" s="162" t="s">
        <v>9</v>
      </c>
      <c r="R101" s="162" t="s">
        <v>9</v>
      </c>
      <c r="S101" s="162" t="s">
        <v>9</v>
      </c>
      <c r="T101" s="162" t="s">
        <v>9</v>
      </c>
      <c r="U101" s="162" t="s">
        <v>9</v>
      </c>
      <c r="V101" s="162" t="s">
        <v>9</v>
      </c>
      <c r="W101" s="162" t="s">
        <v>9</v>
      </c>
      <c r="X101" s="162" t="s">
        <v>9</v>
      </c>
      <c r="Y101" s="162" t="s">
        <v>9</v>
      </c>
      <c r="Z101" s="162" t="s">
        <v>9</v>
      </c>
      <c r="AA101" s="162" t="s">
        <v>9</v>
      </c>
      <c r="AB101" s="162" t="s">
        <v>9</v>
      </c>
      <c r="AC101" s="162" t="s">
        <v>9</v>
      </c>
      <c r="AD101" s="162" t="s">
        <v>9</v>
      </c>
      <c r="AE101" s="162" t="s">
        <v>9</v>
      </c>
      <c r="AF101" s="162" t="s">
        <v>9</v>
      </c>
      <c r="AG101" s="162" t="s">
        <v>9</v>
      </c>
      <c r="AH101" s="162" t="s">
        <v>9</v>
      </c>
      <c r="AI101" s="162" t="s">
        <v>9</v>
      </c>
      <c r="AJ101" s="162" t="s">
        <v>9</v>
      </c>
      <c r="AK101" s="162" t="s">
        <v>9</v>
      </c>
      <c r="AL101" s="162" t="s">
        <v>9</v>
      </c>
      <c r="AM101" s="162" t="s">
        <v>9</v>
      </c>
      <c r="AN101" s="162" t="s">
        <v>9</v>
      </c>
      <c r="AO101" s="162" t="s">
        <v>9</v>
      </c>
      <c r="AP101" s="162" t="s">
        <v>9</v>
      </c>
      <c r="AQ101" s="162" t="s">
        <v>9</v>
      </c>
      <c r="AR101" s="162" t="s">
        <v>9</v>
      </c>
      <c r="AS101" s="162" t="s">
        <v>9</v>
      </c>
      <c r="AT101" s="162" t="s">
        <v>9</v>
      </c>
      <c r="AU101" s="162" t="s">
        <v>9</v>
      </c>
      <c r="AV101" s="162" t="s">
        <v>9</v>
      </c>
      <c r="AW101" s="162" t="s">
        <v>9</v>
      </c>
      <c r="AX101" s="162" t="s">
        <v>9</v>
      </c>
      <c r="AY101" s="162" t="s">
        <v>9</v>
      </c>
      <c r="AZ101" s="162" t="s">
        <v>9</v>
      </c>
      <c r="BA101" s="162" t="s">
        <v>9</v>
      </c>
      <c r="BB101" s="162" t="s">
        <v>9</v>
      </c>
      <c r="BC101" s="162" t="s">
        <v>9</v>
      </c>
      <c r="BD101" s="162" t="s">
        <v>9</v>
      </c>
      <c r="BE101" s="162" t="s">
        <v>9</v>
      </c>
      <c r="BF101" s="162" t="s">
        <v>9</v>
      </c>
      <c r="BG101" s="162" t="s">
        <v>9</v>
      </c>
      <c r="BH101" s="162" t="s">
        <v>9</v>
      </c>
      <c r="BI101" s="162" t="s">
        <v>9</v>
      </c>
      <c r="BJ101" s="162" t="s">
        <v>9</v>
      </c>
      <c r="BK101" s="162" t="s">
        <v>9</v>
      </c>
      <c r="BL101" s="162" t="s">
        <v>9</v>
      </c>
      <c r="BM101" s="162" t="s">
        <v>9</v>
      </c>
      <c r="BN101" s="162" t="s">
        <v>9</v>
      </c>
      <c r="BO101" s="162" t="s">
        <v>9</v>
      </c>
      <c r="BP101" s="162" t="s">
        <v>9</v>
      </c>
      <c r="BQ101" s="162" t="s">
        <v>9</v>
      </c>
      <c r="BR101" s="162" t="s">
        <v>9</v>
      </c>
      <c r="BS101" s="194"/>
    </row>
    <row r="102" spans="1:71">
      <c r="A102" s="145" t="s">
        <v>272</v>
      </c>
      <c r="B102" s="145" t="s">
        <v>53</v>
      </c>
      <c r="C102" s="145">
        <v>1</v>
      </c>
      <c r="D102" s="146" t="s">
        <v>607</v>
      </c>
      <c r="E102" s="147" t="str">
        <f>IF(COUNTIF(Measure_62443_3_3[[#This Row],[G 0.13 Interception of Compromising Interference Signals]:[OPS.1.1.3.8 Manipulation of data and tools during patch and change management]],"P")&gt;0,"X","")</f>
        <v/>
      </c>
      <c r="F102" s="147" t="str">
        <f>IF(OR(Measure_62443_3_3[[#This Row],[Requirement Selected (Prefulfilled)]]="X",Measure_62443_3_3[[#This Row],[Relevance revoked]]="Yes"),"X","")</f>
        <v/>
      </c>
      <c r="G102" s="147" t="str">
        <f>IF(COUNTIF(Measure_62443_3_3[[#This Row],[G 0.13 Interception of Compromising Interference Signals]:[OPS.1.1.3.8 Manipulation of data and tools during patch and change management]],"P")&gt;0,"X","")</f>
        <v/>
      </c>
      <c r="H102" s="147" t="str">
        <f>IF(OR(Measure_62443_3_3[[#This Row],[Requirement Selected (Prefulfilled + Mitigating)]]="X",Measure_62443_3_3[[#This Row],[Relevance revoked]]="Yes"),"X","")</f>
        <v/>
      </c>
      <c r="I102" s="148" t="str">
        <f>IF(VLOOKUP(Measure_62443_3_3[[#This Row],[FR]],'SL-T'!$A$5:$B$11,2,FALSE)&gt;=Measure_62443_3_3[[#This Row],[lowest SL-T]],"X","")</f>
        <v>X</v>
      </c>
      <c r="J102" s="160" t="s">
        <v>90</v>
      </c>
      <c r="K102" s="161"/>
      <c r="L102" s="162" t="s">
        <v>9</v>
      </c>
      <c r="M102" s="162" t="s">
        <v>9</v>
      </c>
      <c r="N102" s="162" t="s">
        <v>9</v>
      </c>
      <c r="O102" s="162" t="s">
        <v>9</v>
      </c>
      <c r="P102" s="162" t="s">
        <v>9</v>
      </c>
      <c r="Q102" s="162" t="s">
        <v>9</v>
      </c>
      <c r="R102" s="162" t="s">
        <v>9</v>
      </c>
      <c r="S102" s="162" t="s">
        <v>9</v>
      </c>
      <c r="T102" s="162" t="s">
        <v>9</v>
      </c>
      <c r="U102" s="162" t="s">
        <v>9</v>
      </c>
      <c r="V102" s="162" t="s">
        <v>9</v>
      </c>
      <c r="W102" s="162" t="s">
        <v>9</v>
      </c>
      <c r="X102" s="162" t="s">
        <v>9</v>
      </c>
      <c r="Y102" s="162" t="s">
        <v>9</v>
      </c>
      <c r="Z102" s="162" t="s">
        <v>9</v>
      </c>
      <c r="AA102" s="162" t="s">
        <v>9</v>
      </c>
      <c r="AB102" s="162" t="s">
        <v>9</v>
      </c>
      <c r="AC102" s="162" t="s">
        <v>9</v>
      </c>
      <c r="AD102" s="162" t="s">
        <v>9</v>
      </c>
      <c r="AE102" s="162" t="s">
        <v>9</v>
      </c>
      <c r="AF102" s="162" t="s">
        <v>9</v>
      </c>
      <c r="AG102" s="162" t="s">
        <v>9</v>
      </c>
      <c r="AH102" s="162" t="s">
        <v>9</v>
      </c>
      <c r="AI102" s="162" t="s">
        <v>9</v>
      </c>
      <c r="AJ102" s="162" t="s">
        <v>9</v>
      </c>
      <c r="AK102" s="162" t="s">
        <v>9</v>
      </c>
      <c r="AL102" s="162" t="s">
        <v>9</v>
      </c>
      <c r="AM102" s="162" t="s">
        <v>9</v>
      </c>
      <c r="AN102" s="162" t="s">
        <v>9</v>
      </c>
      <c r="AO102" s="162" t="s">
        <v>9</v>
      </c>
      <c r="AP102" s="162" t="s">
        <v>9</v>
      </c>
      <c r="AQ102" s="162" t="s">
        <v>9</v>
      </c>
      <c r="AR102" s="162" t="s">
        <v>9</v>
      </c>
      <c r="AS102" s="162" t="s">
        <v>9</v>
      </c>
      <c r="AT102" s="162" t="s">
        <v>9</v>
      </c>
      <c r="AU102" s="162" t="s">
        <v>9</v>
      </c>
      <c r="AV102" s="162" t="s">
        <v>9</v>
      </c>
      <c r="AW102" s="162" t="s">
        <v>9</v>
      </c>
      <c r="AX102" s="162" t="s">
        <v>9</v>
      </c>
      <c r="AY102" s="162" t="s">
        <v>9</v>
      </c>
      <c r="AZ102" s="162" t="s">
        <v>9</v>
      </c>
      <c r="BA102" s="162" t="s">
        <v>9</v>
      </c>
      <c r="BB102" s="162" t="s">
        <v>9</v>
      </c>
      <c r="BC102" s="162" t="s">
        <v>9</v>
      </c>
      <c r="BD102" s="162" t="s">
        <v>9</v>
      </c>
      <c r="BE102" s="162" t="s">
        <v>9</v>
      </c>
      <c r="BF102" s="162" t="s">
        <v>9</v>
      </c>
      <c r="BG102" s="162" t="s">
        <v>9</v>
      </c>
      <c r="BH102" s="162" t="s">
        <v>9</v>
      </c>
      <c r="BI102" s="162" t="s">
        <v>9</v>
      </c>
      <c r="BJ102" s="162" t="s">
        <v>9</v>
      </c>
      <c r="BK102" s="162" t="s">
        <v>9</v>
      </c>
      <c r="BL102" s="162" t="s">
        <v>9</v>
      </c>
      <c r="BM102" s="162" t="s">
        <v>9</v>
      </c>
      <c r="BN102" s="162" t="s">
        <v>9</v>
      </c>
      <c r="BO102" s="162" t="s">
        <v>9</v>
      </c>
      <c r="BP102" s="162" t="s">
        <v>9</v>
      </c>
      <c r="BQ102" s="162" t="s">
        <v>9</v>
      </c>
      <c r="BR102" s="162" t="s">
        <v>9</v>
      </c>
      <c r="BS102" s="194"/>
    </row>
    <row r="103" spans="1:71">
      <c r="A103" s="145" t="s">
        <v>273</v>
      </c>
      <c r="B103" s="145" t="s">
        <v>53</v>
      </c>
      <c r="C103" s="145">
        <v>2</v>
      </c>
      <c r="D103" s="146" t="s">
        <v>607</v>
      </c>
      <c r="E103" s="147" t="str">
        <f>IF(COUNTIF(Measure_62443_3_3[[#This Row],[G 0.13 Interception of Compromising Interference Signals]:[OPS.1.1.3.8 Manipulation of data and tools during patch and change management]],"P")&gt;0,"X","")</f>
        <v/>
      </c>
      <c r="F103" s="147" t="str">
        <f>IF(OR(Measure_62443_3_3[[#This Row],[Requirement Selected (Prefulfilled)]]="X",Measure_62443_3_3[[#This Row],[Relevance revoked]]="Yes"),"X","")</f>
        <v/>
      </c>
      <c r="G103" s="147" t="str">
        <f>IF(COUNTIF(Measure_62443_3_3[[#This Row],[G 0.13 Interception of Compromising Interference Signals]:[OPS.1.1.3.8 Manipulation of data and tools during patch and change management]],"P")&gt;0,"X","")</f>
        <v/>
      </c>
      <c r="H103" s="147" t="str">
        <f>IF(OR(Measure_62443_3_3[[#This Row],[Requirement Selected (Prefulfilled + Mitigating)]]="X",Measure_62443_3_3[[#This Row],[Relevance revoked]]="Yes"),"X","")</f>
        <v/>
      </c>
      <c r="I103" s="148" t="str">
        <f>IF(VLOOKUP(Measure_62443_3_3[[#This Row],[FR]],'SL-T'!$A$5:$B$11,2,FALSE)&gt;=Measure_62443_3_3[[#This Row],[lowest SL-T]],"X","")</f>
        <v>X</v>
      </c>
      <c r="J103" s="160" t="s">
        <v>90</v>
      </c>
      <c r="K103" s="161"/>
      <c r="L103" s="162" t="s">
        <v>9</v>
      </c>
      <c r="M103" s="162" t="s">
        <v>9</v>
      </c>
      <c r="N103" s="162" t="s">
        <v>9</v>
      </c>
      <c r="O103" s="162" t="s">
        <v>9</v>
      </c>
      <c r="P103" s="162" t="s">
        <v>9</v>
      </c>
      <c r="Q103" s="162" t="s">
        <v>9</v>
      </c>
      <c r="R103" s="162" t="s">
        <v>9</v>
      </c>
      <c r="S103" s="162" t="s">
        <v>9</v>
      </c>
      <c r="T103" s="162" t="s">
        <v>9</v>
      </c>
      <c r="U103" s="162" t="s">
        <v>9</v>
      </c>
      <c r="V103" s="162" t="s">
        <v>9</v>
      </c>
      <c r="W103" s="162" t="s">
        <v>9</v>
      </c>
      <c r="X103" s="162" t="s">
        <v>9</v>
      </c>
      <c r="Y103" s="162" t="s">
        <v>9</v>
      </c>
      <c r="Z103" s="162" t="s">
        <v>9</v>
      </c>
      <c r="AA103" s="162" t="s">
        <v>9</v>
      </c>
      <c r="AB103" s="162" t="s">
        <v>9</v>
      </c>
      <c r="AC103" s="162" t="s">
        <v>9</v>
      </c>
      <c r="AD103" s="162" t="s">
        <v>9</v>
      </c>
      <c r="AE103" s="162" t="s">
        <v>9</v>
      </c>
      <c r="AF103" s="162" t="s">
        <v>9</v>
      </c>
      <c r="AG103" s="162" t="s">
        <v>9</v>
      </c>
      <c r="AH103" s="162" t="s">
        <v>9</v>
      </c>
      <c r="AI103" s="162" t="s">
        <v>9</v>
      </c>
      <c r="AJ103" s="162" t="s">
        <v>9</v>
      </c>
      <c r="AK103" s="162" t="s">
        <v>9</v>
      </c>
      <c r="AL103" s="162" t="s">
        <v>9</v>
      </c>
      <c r="AM103" s="162" t="s">
        <v>9</v>
      </c>
      <c r="AN103" s="162" t="s">
        <v>9</v>
      </c>
      <c r="AO103" s="162" t="s">
        <v>9</v>
      </c>
      <c r="AP103" s="162" t="s">
        <v>9</v>
      </c>
      <c r="AQ103" s="162" t="s">
        <v>9</v>
      </c>
      <c r="AR103" s="162" t="s">
        <v>9</v>
      </c>
      <c r="AS103" s="162" t="s">
        <v>9</v>
      </c>
      <c r="AT103" s="162" t="s">
        <v>9</v>
      </c>
      <c r="AU103" s="162" t="s">
        <v>9</v>
      </c>
      <c r="AV103" s="162" t="s">
        <v>9</v>
      </c>
      <c r="AW103" s="162" t="s">
        <v>9</v>
      </c>
      <c r="AX103" s="162" t="s">
        <v>9</v>
      </c>
      <c r="AY103" s="162" t="s">
        <v>9</v>
      </c>
      <c r="AZ103" s="162" t="s">
        <v>9</v>
      </c>
      <c r="BA103" s="162" t="s">
        <v>9</v>
      </c>
      <c r="BB103" s="162" t="s">
        <v>9</v>
      </c>
      <c r="BC103" s="162" t="s">
        <v>9</v>
      </c>
      <c r="BD103" s="162" t="s">
        <v>9</v>
      </c>
      <c r="BE103" s="162" t="s">
        <v>9</v>
      </c>
      <c r="BF103" s="162" t="s">
        <v>9</v>
      </c>
      <c r="BG103" s="162" t="s">
        <v>9</v>
      </c>
      <c r="BH103" s="162" t="s">
        <v>9</v>
      </c>
      <c r="BI103" s="162" t="s">
        <v>9</v>
      </c>
      <c r="BJ103" s="162" t="s">
        <v>9</v>
      </c>
      <c r="BK103" s="162" t="s">
        <v>9</v>
      </c>
      <c r="BL103" s="162" t="s">
        <v>9</v>
      </c>
      <c r="BM103" s="162" t="s">
        <v>9</v>
      </c>
      <c r="BN103" s="162" t="s">
        <v>9</v>
      </c>
      <c r="BO103" s="162" t="s">
        <v>9</v>
      </c>
      <c r="BP103" s="162" t="s">
        <v>9</v>
      </c>
      <c r="BQ103" s="162" t="s">
        <v>9</v>
      </c>
      <c r="BR103" s="162" t="s">
        <v>9</v>
      </c>
      <c r="BS103" s="194"/>
    </row>
    <row r="105" spans="1:71" hidden="1">
      <c r="A105" s="199"/>
      <c r="B105" s="199"/>
      <c r="C105" s="199"/>
      <c r="D105" s="199"/>
      <c r="E105" s="200"/>
      <c r="F105" s="200"/>
      <c r="G105" s="200"/>
      <c r="H105" s="200"/>
      <c r="I105" s="200"/>
      <c r="J105" s="200"/>
      <c r="K105" s="200"/>
      <c r="L105" s="199" t="str" cm="1">
        <f t="array" ref="L105:BR105">TRANSPOSE(Attacker_Threat_Zone[Relevance])</f>
        <v>Yes</v>
      </c>
      <c r="M105" s="199" t="str">
        <v>Yes</v>
      </c>
      <c r="N105" s="199" t="str">
        <v>Yes</v>
      </c>
      <c r="O105" s="199" t="str">
        <v>Yes</v>
      </c>
      <c r="P105" s="199">
        <v>0</v>
      </c>
      <c r="Q105" s="199">
        <v>0</v>
      </c>
      <c r="R105" s="199">
        <v>0</v>
      </c>
      <c r="S105" s="199">
        <v>0</v>
      </c>
      <c r="T105" s="199">
        <v>0</v>
      </c>
      <c r="U105" s="199">
        <v>0</v>
      </c>
      <c r="V105" s="199">
        <v>0</v>
      </c>
      <c r="W105" s="199">
        <v>0</v>
      </c>
      <c r="X105" s="199">
        <v>0</v>
      </c>
      <c r="Y105" s="199">
        <v>0</v>
      </c>
      <c r="Z105" s="199">
        <v>0</v>
      </c>
      <c r="AA105" s="199">
        <v>0</v>
      </c>
      <c r="AB105" s="199">
        <v>0</v>
      </c>
      <c r="AC105" s="199">
        <v>0</v>
      </c>
      <c r="AD105" s="199">
        <v>0</v>
      </c>
      <c r="AE105" s="199">
        <v>0</v>
      </c>
      <c r="AF105" s="199">
        <v>0</v>
      </c>
      <c r="AG105" s="199">
        <v>0</v>
      </c>
      <c r="AH105" s="199">
        <v>0</v>
      </c>
      <c r="AI105" s="199">
        <v>0</v>
      </c>
      <c r="AJ105" s="199">
        <v>0</v>
      </c>
      <c r="AK105" s="199">
        <v>0</v>
      </c>
      <c r="AL105" s="199">
        <v>0</v>
      </c>
      <c r="AM105" s="199">
        <v>0</v>
      </c>
      <c r="AN105" s="199">
        <v>0</v>
      </c>
      <c r="AO105" s="199">
        <v>0</v>
      </c>
      <c r="AP105" s="199">
        <v>0</v>
      </c>
      <c r="AQ105" s="199">
        <v>0</v>
      </c>
      <c r="AR105" s="199">
        <v>0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99">
        <v>0</v>
      </c>
      <c r="BE105" s="199">
        <v>0</v>
      </c>
      <c r="BF105" s="199">
        <v>0</v>
      </c>
      <c r="BG105" s="199">
        <v>0</v>
      </c>
      <c r="BH105" s="199">
        <v>0</v>
      </c>
      <c r="BI105" s="199">
        <v>0</v>
      </c>
      <c r="BJ105" s="199">
        <v>0</v>
      </c>
      <c r="BK105" s="199">
        <v>0</v>
      </c>
      <c r="BL105" s="199">
        <v>0</v>
      </c>
      <c r="BM105" s="199">
        <v>0</v>
      </c>
      <c r="BN105" s="199">
        <v>0</v>
      </c>
      <c r="BO105" s="199">
        <v>0</v>
      </c>
      <c r="BP105" s="199">
        <v>0</v>
      </c>
      <c r="BQ105" s="199">
        <v>0</v>
      </c>
      <c r="BR105" s="199">
        <v>0</v>
      </c>
      <c r="BS105" s="199"/>
    </row>
  </sheetData>
  <mergeCells count="1">
    <mergeCell ref="A1:Q1"/>
  </mergeCells>
  <conditionalFormatting sqref="L3:BR3">
    <cfRule type="expression" dxfId="13" priority="1">
      <formula>L$105="Yes"</formula>
    </cfRule>
  </conditionalFormatting>
  <dataValidations count="2">
    <dataValidation type="list" allowBlank="1" showInputMessage="1" showErrorMessage="1" sqref="L4:BR103" xr:uid="{00000000-0002-0000-0500-000000000000}">
      <formula1>"-,P,M"</formula1>
    </dataValidation>
    <dataValidation type="list" allowBlank="1" showInputMessage="1" showErrorMessage="1" sqref="J4:J103" xr:uid="{30B33D53-FECC-40B9-B792-B9EBDB8F437B}">
      <formula1>"Yes,No"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BK92"/>
  <sheetViews>
    <sheetView zoomScale="70" zoomScaleNormal="70" workbookViewId="0">
      <pane xSplit="3" ySplit="3" topLeftCell="D4" activePane="bottomRight" state="frozen"/>
      <selection pane="topRight" activeCell="F1" sqref="F1"/>
      <selection pane="bottomLeft" activeCell="A3" sqref="A3"/>
      <selection pane="bottomRight" activeCell="AG21" sqref="AG21"/>
    </sheetView>
  </sheetViews>
  <sheetFormatPr baseColWidth="10" defaultColWidth="11.44140625" defaultRowHeight="14.4"/>
  <cols>
    <col min="1" max="1" width="23.44140625" customWidth="1"/>
    <col min="2" max="2" width="70.88671875" customWidth="1"/>
    <col min="3" max="3" width="5.6640625" customWidth="1"/>
    <col min="4" max="48" width="3.6640625" bestFit="1" customWidth="1"/>
    <col min="49" max="62" width="3.6640625" customWidth="1"/>
  </cols>
  <sheetData>
    <row r="1" spans="1:63" ht="39.6" customHeight="1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</row>
    <row r="2" spans="1:63">
      <c r="A2" s="72"/>
      <c r="B2" s="16" t="s">
        <v>164</v>
      </c>
    </row>
    <row r="3" spans="1:63" ht="313.5" customHeight="1">
      <c r="A3" s="94" t="s">
        <v>274</v>
      </c>
      <c r="B3" s="96" t="s">
        <v>275</v>
      </c>
      <c r="C3" s="93" t="s">
        <v>276</v>
      </c>
      <c r="D3" s="22" t="s">
        <v>80</v>
      </c>
      <c r="E3" s="22" t="s">
        <v>83</v>
      </c>
      <c r="F3" s="22" t="s">
        <v>85</v>
      </c>
      <c r="G3" s="22" t="s">
        <v>87</v>
      </c>
      <c r="H3" s="22" t="s">
        <v>89</v>
      </c>
      <c r="I3" s="22" t="s">
        <v>91</v>
      </c>
      <c r="J3" s="22" t="s">
        <v>92</v>
      </c>
      <c r="K3" s="22" t="s">
        <v>94</v>
      </c>
      <c r="L3" s="22" t="s">
        <v>97</v>
      </c>
      <c r="M3" s="22" t="s">
        <v>98</v>
      </c>
      <c r="N3" s="22" t="s">
        <v>99</v>
      </c>
      <c r="O3" s="22" t="s">
        <v>100</v>
      </c>
      <c r="P3" s="22" t="s">
        <v>101</v>
      </c>
      <c r="Q3" s="22" t="s">
        <v>102</v>
      </c>
      <c r="R3" s="22" t="s">
        <v>103</v>
      </c>
      <c r="S3" s="22" t="s">
        <v>104</v>
      </c>
      <c r="T3" s="22" t="s">
        <v>105</v>
      </c>
      <c r="U3" s="22" t="s">
        <v>106</v>
      </c>
      <c r="V3" s="22" t="s">
        <v>107</v>
      </c>
      <c r="W3" s="22" t="s">
        <v>108</v>
      </c>
      <c r="X3" s="22" t="s">
        <v>109</v>
      </c>
      <c r="Y3" s="22" t="s">
        <v>110</v>
      </c>
      <c r="Z3" s="22" t="s">
        <v>111</v>
      </c>
      <c r="AA3" s="22" t="s">
        <v>112</v>
      </c>
      <c r="AB3" s="22" t="s">
        <v>113</v>
      </c>
      <c r="AC3" s="22" t="s">
        <v>114</v>
      </c>
      <c r="AD3" s="22" t="s">
        <v>115</v>
      </c>
      <c r="AE3" s="22" t="s">
        <v>116</v>
      </c>
      <c r="AF3" s="22" t="s">
        <v>117</v>
      </c>
      <c r="AG3" s="22" t="s">
        <v>118</v>
      </c>
      <c r="AH3" s="22" t="s">
        <v>575</v>
      </c>
      <c r="AI3" s="22" t="s">
        <v>576</v>
      </c>
      <c r="AJ3" s="22" t="s">
        <v>119</v>
      </c>
      <c r="AK3" s="22" t="s">
        <v>120</v>
      </c>
      <c r="AL3" s="22" t="s">
        <v>121</v>
      </c>
      <c r="AM3" s="22" t="s">
        <v>122</v>
      </c>
      <c r="AN3" s="22" t="s">
        <v>577</v>
      </c>
      <c r="AO3" s="22" t="s">
        <v>123</v>
      </c>
      <c r="AP3" s="22" t="s">
        <v>124</v>
      </c>
      <c r="AQ3" s="22" t="s">
        <v>125</v>
      </c>
      <c r="AR3" s="22" t="s">
        <v>126</v>
      </c>
      <c r="AS3" s="22" t="s">
        <v>127</v>
      </c>
      <c r="AT3" s="22" t="s">
        <v>128</v>
      </c>
      <c r="AU3" s="22" t="s">
        <v>129</v>
      </c>
      <c r="AV3" s="22" t="s">
        <v>130</v>
      </c>
      <c r="AW3" s="22" t="s">
        <v>131</v>
      </c>
      <c r="AX3" s="22" t="s">
        <v>132</v>
      </c>
      <c r="AY3" s="22" t="s">
        <v>133</v>
      </c>
      <c r="AZ3" s="22" t="s">
        <v>134</v>
      </c>
      <c r="BA3" s="22" t="s">
        <v>135</v>
      </c>
      <c r="BB3" s="22" t="s">
        <v>136</v>
      </c>
      <c r="BC3" s="22" t="s">
        <v>137</v>
      </c>
      <c r="BD3" s="22" t="s">
        <v>138</v>
      </c>
      <c r="BE3" s="22" t="s">
        <v>139</v>
      </c>
      <c r="BF3" s="22" t="s">
        <v>140</v>
      </c>
      <c r="BG3" s="22" t="s">
        <v>141</v>
      </c>
      <c r="BH3" s="22" t="s">
        <v>142</v>
      </c>
      <c r="BI3" s="22" t="s">
        <v>143</v>
      </c>
      <c r="BJ3" s="22" t="s">
        <v>144</v>
      </c>
    </row>
    <row r="4" spans="1:63">
      <c r="A4" s="145" t="s">
        <v>277</v>
      </c>
      <c r="B4" s="146" t="s">
        <v>607</v>
      </c>
      <c r="C4" s="147" t="str">
        <f>IF(COUNTIF(Measure_62443_2_1[[#This Row],[G 0.13 Interception of Compromising Interference Signals]:[OPS.1.1.3.8 Manipulation of data and tools during patch and change management]],"X")&gt;0,"X","")</f>
        <v/>
      </c>
      <c r="D4" s="162" t="s">
        <v>9</v>
      </c>
      <c r="E4" s="162" t="s">
        <v>9</v>
      </c>
      <c r="F4" s="162" t="s">
        <v>9</v>
      </c>
      <c r="G4" s="162" t="s">
        <v>9</v>
      </c>
      <c r="H4" s="162" t="s">
        <v>9</v>
      </c>
      <c r="I4" s="162" t="s">
        <v>9</v>
      </c>
      <c r="J4" s="162" t="s">
        <v>9</v>
      </c>
      <c r="K4" s="162" t="s">
        <v>9</v>
      </c>
      <c r="L4" s="162" t="s">
        <v>9</v>
      </c>
      <c r="M4" s="162" t="s">
        <v>9</v>
      </c>
      <c r="N4" s="162" t="s">
        <v>9</v>
      </c>
      <c r="O4" s="162" t="s">
        <v>9</v>
      </c>
      <c r="P4" s="162" t="s">
        <v>9</v>
      </c>
      <c r="Q4" s="162" t="s">
        <v>9</v>
      </c>
      <c r="R4" s="162" t="s">
        <v>9</v>
      </c>
      <c r="S4" s="162" t="s">
        <v>9</v>
      </c>
      <c r="T4" s="162" t="s">
        <v>9</v>
      </c>
      <c r="U4" s="162" t="s">
        <v>9</v>
      </c>
      <c r="V4" s="162" t="s">
        <v>9</v>
      </c>
      <c r="W4" s="162" t="s">
        <v>9</v>
      </c>
      <c r="X4" s="162" t="s">
        <v>9</v>
      </c>
      <c r="Y4" s="162" t="s">
        <v>9</v>
      </c>
      <c r="Z4" s="162" t="s">
        <v>9</v>
      </c>
      <c r="AA4" s="162" t="s">
        <v>9</v>
      </c>
      <c r="AB4" s="162" t="s">
        <v>9</v>
      </c>
      <c r="AC4" s="162" t="s">
        <v>9</v>
      </c>
      <c r="AD4" s="162" t="s">
        <v>9</v>
      </c>
      <c r="AE4" s="162" t="s">
        <v>9</v>
      </c>
      <c r="AF4" s="162" t="s">
        <v>9</v>
      </c>
      <c r="AG4" s="162" t="s">
        <v>9</v>
      </c>
      <c r="AH4" s="162" t="s">
        <v>9</v>
      </c>
      <c r="AI4" s="162" t="s">
        <v>9</v>
      </c>
      <c r="AJ4" s="162" t="s">
        <v>9</v>
      </c>
      <c r="AK4" s="162" t="s">
        <v>9</v>
      </c>
      <c r="AL4" s="162" t="s">
        <v>9</v>
      </c>
      <c r="AM4" s="162" t="s">
        <v>9</v>
      </c>
      <c r="AN4" s="162" t="s">
        <v>9</v>
      </c>
      <c r="AO4" s="162" t="s">
        <v>9</v>
      </c>
      <c r="AP4" s="162" t="s">
        <v>9</v>
      </c>
      <c r="AQ4" s="162" t="s">
        <v>9</v>
      </c>
      <c r="AR4" s="162" t="s">
        <v>9</v>
      </c>
      <c r="AS4" s="162" t="s">
        <v>9</v>
      </c>
      <c r="AT4" s="162" t="s">
        <v>9</v>
      </c>
      <c r="AU4" s="162" t="s">
        <v>9</v>
      </c>
      <c r="AV4" s="162" t="s">
        <v>9</v>
      </c>
      <c r="AW4" s="162" t="s">
        <v>9</v>
      </c>
      <c r="AX4" s="162" t="s">
        <v>9</v>
      </c>
      <c r="AY4" s="162" t="s">
        <v>9</v>
      </c>
      <c r="AZ4" s="162" t="s">
        <v>9</v>
      </c>
      <c r="BA4" s="162" t="s">
        <v>9</v>
      </c>
      <c r="BB4" s="162" t="s">
        <v>9</v>
      </c>
      <c r="BC4" s="162" t="s">
        <v>9</v>
      </c>
      <c r="BD4" s="162" t="s">
        <v>9</v>
      </c>
      <c r="BE4" s="162" t="s">
        <v>9</v>
      </c>
      <c r="BF4" s="162" t="s">
        <v>9</v>
      </c>
      <c r="BG4" s="162" t="s">
        <v>9</v>
      </c>
      <c r="BH4" s="162" t="s">
        <v>9</v>
      </c>
      <c r="BI4" s="162" t="s">
        <v>9</v>
      </c>
      <c r="BJ4" s="162" t="s">
        <v>9</v>
      </c>
      <c r="BK4" s="194"/>
    </row>
    <row r="5" spans="1:63">
      <c r="A5" s="145" t="s">
        <v>278</v>
      </c>
      <c r="B5" s="146" t="s">
        <v>607</v>
      </c>
      <c r="C5" s="146" t="str">
        <f>IF(COUNTIF(Measure_62443_2_1[[#This Row],[G 0.13 Interception of Compromising Interference Signals]:[OPS.1.1.3.8 Manipulation of data and tools during patch and change management]],"X")&gt;0,"X","")</f>
        <v/>
      </c>
      <c r="D5" s="162" t="s">
        <v>9</v>
      </c>
      <c r="E5" s="162" t="s">
        <v>9</v>
      </c>
      <c r="F5" s="162" t="s">
        <v>9</v>
      </c>
      <c r="G5" s="162" t="s">
        <v>9</v>
      </c>
      <c r="H5" s="162" t="s">
        <v>9</v>
      </c>
      <c r="I5" s="162" t="s">
        <v>9</v>
      </c>
      <c r="J5" s="162" t="s">
        <v>9</v>
      </c>
      <c r="K5" s="162" t="s">
        <v>9</v>
      </c>
      <c r="L5" s="162" t="s">
        <v>9</v>
      </c>
      <c r="M5" s="162" t="s">
        <v>9</v>
      </c>
      <c r="N5" s="162" t="s">
        <v>9</v>
      </c>
      <c r="O5" s="162" t="s">
        <v>9</v>
      </c>
      <c r="P5" s="162" t="s">
        <v>9</v>
      </c>
      <c r="Q5" s="162" t="s">
        <v>9</v>
      </c>
      <c r="R5" s="162" t="s">
        <v>9</v>
      </c>
      <c r="S5" s="162" t="s">
        <v>9</v>
      </c>
      <c r="T5" s="162" t="s">
        <v>9</v>
      </c>
      <c r="U5" s="162" t="s">
        <v>9</v>
      </c>
      <c r="V5" s="162" t="s">
        <v>9</v>
      </c>
      <c r="W5" s="162" t="s">
        <v>9</v>
      </c>
      <c r="X5" s="162" t="s">
        <v>9</v>
      </c>
      <c r="Y5" s="162" t="s">
        <v>9</v>
      </c>
      <c r="Z5" s="162" t="s">
        <v>9</v>
      </c>
      <c r="AA5" s="162" t="s">
        <v>9</v>
      </c>
      <c r="AB5" s="162" t="s">
        <v>9</v>
      </c>
      <c r="AC5" s="162" t="s">
        <v>9</v>
      </c>
      <c r="AD5" s="162" t="s">
        <v>9</v>
      </c>
      <c r="AE5" s="162" t="s">
        <v>9</v>
      </c>
      <c r="AF5" s="162" t="s">
        <v>9</v>
      </c>
      <c r="AG5" s="162" t="s">
        <v>9</v>
      </c>
      <c r="AH5" s="162" t="s">
        <v>9</v>
      </c>
      <c r="AI5" s="162" t="s">
        <v>9</v>
      </c>
      <c r="AJ5" s="162" t="s">
        <v>9</v>
      </c>
      <c r="AK5" s="162" t="s">
        <v>9</v>
      </c>
      <c r="AL5" s="162" t="s">
        <v>9</v>
      </c>
      <c r="AM5" s="162" t="s">
        <v>9</v>
      </c>
      <c r="AN5" s="162" t="s">
        <v>9</v>
      </c>
      <c r="AO5" s="162" t="s">
        <v>9</v>
      </c>
      <c r="AP5" s="162" t="s">
        <v>9</v>
      </c>
      <c r="AQ5" s="162" t="s">
        <v>9</v>
      </c>
      <c r="AR5" s="162" t="s">
        <v>9</v>
      </c>
      <c r="AS5" s="162" t="s">
        <v>9</v>
      </c>
      <c r="AT5" s="162" t="s">
        <v>9</v>
      </c>
      <c r="AU5" s="162" t="s">
        <v>9</v>
      </c>
      <c r="AV5" s="162" t="s">
        <v>9</v>
      </c>
      <c r="AW5" s="162" t="s">
        <v>9</v>
      </c>
      <c r="AX5" s="162" t="s">
        <v>9</v>
      </c>
      <c r="AY5" s="162" t="s">
        <v>9</v>
      </c>
      <c r="AZ5" s="162" t="s">
        <v>9</v>
      </c>
      <c r="BA5" s="162" t="s">
        <v>9</v>
      </c>
      <c r="BB5" s="162" t="s">
        <v>9</v>
      </c>
      <c r="BC5" s="162" t="s">
        <v>9</v>
      </c>
      <c r="BD5" s="162" t="s">
        <v>9</v>
      </c>
      <c r="BE5" s="162" t="s">
        <v>9</v>
      </c>
      <c r="BF5" s="162" t="s">
        <v>9</v>
      </c>
      <c r="BG5" s="162" t="s">
        <v>9</v>
      </c>
      <c r="BH5" s="162" t="s">
        <v>9</v>
      </c>
      <c r="BI5" s="162" t="s">
        <v>9</v>
      </c>
      <c r="BJ5" s="162" t="s">
        <v>9</v>
      </c>
      <c r="BK5" s="194"/>
    </row>
    <row r="6" spans="1:63">
      <c r="A6" s="145" t="s">
        <v>279</v>
      </c>
      <c r="B6" s="146" t="s">
        <v>607</v>
      </c>
      <c r="C6" s="146" t="str">
        <f>IF(COUNTIF(Measure_62443_2_1[[#This Row],[G 0.13 Interception of Compromising Interference Signals]:[OPS.1.1.3.8 Manipulation of data and tools during patch and change management]],"X")&gt;0,"X","")</f>
        <v/>
      </c>
      <c r="D6" s="162" t="s">
        <v>9</v>
      </c>
      <c r="E6" s="162" t="s">
        <v>9</v>
      </c>
      <c r="F6" s="162" t="s">
        <v>9</v>
      </c>
      <c r="G6" s="162" t="s">
        <v>9</v>
      </c>
      <c r="H6" s="162" t="s">
        <v>9</v>
      </c>
      <c r="I6" s="162" t="s">
        <v>9</v>
      </c>
      <c r="J6" s="162" t="s">
        <v>9</v>
      </c>
      <c r="K6" s="162" t="s">
        <v>9</v>
      </c>
      <c r="L6" s="162" t="s">
        <v>9</v>
      </c>
      <c r="M6" s="162" t="s">
        <v>9</v>
      </c>
      <c r="N6" s="162" t="s">
        <v>9</v>
      </c>
      <c r="O6" s="162" t="s">
        <v>9</v>
      </c>
      <c r="P6" s="162" t="s">
        <v>9</v>
      </c>
      <c r="Q6" s="162" t="s">
        <v>9</v>
      </c>
      <c r="R6" s="162" t="s">
        <v>9</v>
      </c>
      <c r="S6" s="162" t="s">
        <v>9</v>
      </c>
      <c r="T6" s="162" t="s">
        <v>9</v>
      </c>
      <c r="U6" s="162" t="s">
        <v>9</v>
      </c>
      <c r="V6" s="162" t="s">
        <v>9</v>
      </c>
      <c r="W6" s="162" t="s">
        <v>9</v>
      </c>
      <c r="X6" s="162" t="s">
        <v>9</v>
      </c>
      <c r="Y6" s="162" t="s">
        <v>9</v>
      </c>
      <c r="Z6" s="162" t="s">
        <v>9</v>
      </c>
      <c r="AA6" s="162" t="s">
        <v>9</v>
      </c>
      <c r="AB6" s="162" t="s">
        <v>9</v>
      </c>
      <c r="AC6" s="162" t="s">
        <v>9</v>
      </c>
      <c r="AD6" s="162" t="s">
        <v>9</v>
      </c>
      <c r="AE6" s="162" t="s">
        <v>9</v>
      </c>
      <c r="AF6" s="162" t="s">
        <v>9</v>
      </c>
      <c r="AG6" s="162" t="s">
        <v>9</v>
      </c>
      <c r="AH6" s="162" t="s">
        <v>9</v>
      </c>
      <c r="AI6" s="162" t="s">
        <v>9</v>
      </c>
      <c r="AJ6" s="162" t="s">
        <v>9</v>
      </c>
      <c r="AK6" s="162" t="s">
        <v>9</v>
      </c>
      <c r="AL6" s="162" t="s">
        <v>9</v>
      </c>
      <c r="AM6" s="162" t="s">
        <v>9</v>
      </c>
      <c r="AN6" s="162" t="s">
        <v>9</v>
      </c>
      <c r="AO6" s="162" t="s">
        <v>9</v>
      </c>
      <c r="AP6" s="162" t="s">
        <v>9</v>
      </c>
      <c r="AQ6" s="162" t="s">
        <v>9</v>
      </c>
      <c r="AR6" s="162" t="s">
        <v>9</v>
      </c>
      <c r="AS6" s="162" t="s">
        <v>9</v>
      </c>
      <c r="AT6" s="162" t="s">
        <v>9</v>
      </c>
      <c r="AU6" s="162" t="s">
        <v>9</v>
      </c>
      <c r="AV6" s="162" t="s">
        <v>9</v>
      </c>
      <c r="AW6" s="162" t="s">
        <v>9</v>
      </c>
      <c r="AX6" s="162" t="s">
        <v>9</v>
      </c>
      <c r="AY6" s="162" t="s">
        <v>9</v>
      </c>
      <c r="AZ6" s="162" t="s">
        <v>9</v>
      </c>
      <c r="BA6" s="162" t="s">
        <v>9</v>
      </c>
      <c r="BB6" s="162" t="s">
        <v>9</v>
      </c>
      <c r="BC6" s="162" t="s">
        <v>9</v>
      </c>
      <c r="BD6" s="162" t="s">
        <v>9</v>
      </c>
      <c r="BE6" s="162" t="s">
        <v>9</v>
      </c>
      <c r="BF6" s="162" t="s">
        <v>9</v>
      </c>
      <c r="BG6" s="162" t="s">
        <v>9</v>
      </c>
      <c r="BH6" s="162" t="s">
        <v>9</v>
      </c>
      <c r="BI6" s="162" t="s">
        <v>9</v>
      </c>
      <c r="BJ6" s="162" t="s">
        <v>9</v>
      </c>
      <c r="BK6" s="194"/>
    </row>
    <row r="7" spans="1:63">
      <c r="A7" s="145" t="s">
        <v>280</v>
      </c>
      <c r="B7" s="146" t="s">
        <v>607</v>
      </c>
      <c r="C7" s="146" t="str">
        <f>IF(COUNTIF(Measure_62443_2_1[[#This Row],[G 0.13 Interception of Compromising Interference Signals]:[OPS.1.1.3.8 Manipulation of data and tools during patch and change management]],"X")&gt;0,"X","")</f>
        <v/>
      </c>
      <c r="D7" s="162" t="s">
        <v>9</v>
      </c>
      <c r="E7" s="162" t="s">
        <v>9</v>
      </c>
      <c r="F7" s="162" t="s">
        <v>9</v>
      </c>
      <c r="G7" s="162" t="s">
        <v>9</v>
      </c>
      <c r="H7" s="162" t="s">
        <v>9</v>
      </c>
      <c r="I7" s="162" t="s">
        <v>9</v>
      </c>
      <c r="J7" s="162" t="s">
        <v>9</v>
      </c>
      <c r="K7" s="162" t="s">
        <v>9</v>
      </c>
      <c r="L7" s="162" t="s">
        <v>9</v>
      </c>
      <c r="M7" s="162" t="s">
        <v>9</v>
      </c>
      <c r="N7" s="162" t="s">
        <v>9</v>
      </c>
      <c r="O7" s="162" t="s">
        <v>9</v>
      </c>
      <c r="P7" s="162" t="s">
        <v>9</v>
      </c>
      <c r="Q7" s="162" t="s">
        <v>9</v>
      </c>
      <c r="R7" s="162" t="s">
        <v>9</v>
      </c>
      <c r="S7" s="162" t="s">
        <v>9</v>
      </c>
      <c r="T7" s="162" t="s">
        <v>9</v>
      </c>
      <c r="U7" s="162" t="s">
        <v>9</v>
      </c>
      <c r="V7" s="162" t="s">
        <v>9</v>
      </c>
      <c r="W7" s="162" t="s">
        <v>9</v>
      </c>
      <c r="X7" s="162" t="s">
        <v>9</v>
      </c>
      <c r="Y7" s="162" t="s">
        <v>9</v>
      </c>
      <c r="Z7" s="162" t="s">
        <v>9</v>
      </c>
      <c r="AA7" s="162" t="s">
        <v>9</v>
      </c>
      <c r="AB7" s="162" t="s">
        <v>9</v>
      </c>
      <c r="AC7" s="162" t="s">
        <v>9</v>
      </c>
      <c r="AD7" s="162" t="s">
        <v>9</v>
      </c>
      <c r="AE7" s="162" t="s">
        <v>9</v>
      </c>
      <c r="AF7" s="162" t="s">
        <v>9</v>
      </c>
      <c r="AG7" s="162" t="s">
        <v>9</v>
      </c>
      <c r="AH7" s="162" t="s">
        <v>9</v>
      </c>
      <c r="AI7" s="162" t="s">
        <v>9</v>
      </c>
      <c r="AJ7" s="162" t="s">
        <v>9</v>
      </c>
      <c r="AK7" s="162" t="s">
        <v>9</v>
      </c>
      <c r="AL7" s="162" t="s">
        <v>9</v>
      </c>
      <c r="AM7" s="162" t="s">
        <v>9</v>
      </c>
      <c r="AN7" s="162" t="s">
        <v>9</v>
      </c>
      <c r="AO7" s="162" t="s">
        <v>9</v>
      </c>
      <c r="AP7" s="162" t="s">
        <v>9</v>
      </c>
      <c r="AQ7" s="162" t="s">
        <v>9</v>
      </c>
      <c r="AR7" s="162" t="s">
        <v>9</v>
      </c>
      <c r="AS7" s="162" t="s">
        <v>9</v>
      </c>
      <c r="AT7" s="162" t="s">
        <v>9</v>
      </c>
      <c r="AU7" s="162" t="s">
        <v>9</v>
      </c>
      <c r="AV7" s="162" t="s">
        <v>9</v>
      </c>
      <c r="AW7" s="162" t="s">
        <v>9</v>
      </c>
      <c r="AX7" s="162" t="s">
        <v>9</v>
      </c>
      <c r="AY7" s="162" t="s">
        <v>9</v>
      </c>
      <c r="AZ7" s="162" t="s">
        <v>9</v>
      </c>
      <c r="BA7" s="162" t="s">
        <v>9</v>
      </c>
      <c r="BB7" s="162" t="s">
        <v>9</v>
      </c>
      <c r="BC7" s="162" t="s">
        <v>9</v>
      </c>
      <c r="BD7" s="162" t="s">
        <v>9</v>
      </c>
      <c r="BE7" s="162" t="s">
        <v>9</v>
      </c>
      <c r="BF7" s="162" t="s">
        <v>9</v>
      </c>
      <c r="BG7" s="162" t="s">
        <v>9</v>
      </c>
      <c r="BH7" s="162" t="s">
        <v>9</v>
      </c>
      <c r="BI7" s="162" t="s">
        <v>9</v>
      </c>
      <c r="BJ7" s="162" t="s">
        <v>9</v>
      </c>
      <c r="BK7" s="194"/>
    </row>
    <row r="8" spans="1:63">
      <c r="A8" s="145" t="s">
        <v>281</v>
      </c>
      <c r="B8" s="146" t="s">
        <v>607</v>
      </c>
      <c r="C8" s="146" t="str">
        <f>IF(COUNTIF(Measure_62443_2_1[[#This Row],[G 0.13 Interception of Compromising Interference Signals]:[OPS.1.1.3.8 Manipulation of data and tools during patch and change management]],"X")&gt;0,"X","")</f>
        <v/>
      </c>
      <c r="D8" s="162" t="s">
        <v>9</v>
      </c>
      <c r="E8" s="162" t="s">
        <v>9</v>
      </c>
      <c r="F8" s="162" t="s">
        <v>9</v>
      </c>
      <c r="G8" s="162" t="s">
        <v>9</v>
      </c>
      <c r="H8" s="162" t="s">
        <v>9</v>
      </c>
      <c r="I8" s="162" t="s">
        <v>9</v>
      </c>
      <c r="J8" s="162" t="s">
        <v>9</v>
      </c>
      <c r="K8" s="162" t="s">
        <v>9</v>
      </c>
      <c r="L8" s="162" t="s">
        <v>9</v>
      </c>
      <c r="M8" s="162" t="s">
        <v>9</v>
      </c>
      <c r="N8" s="162" t="s">
        <v>9</v>
      </c>
      <c r="O8" s="162" t="s">
        <v>9</v>
      </c>
      <c r="P8" s="162" t="s">
        <v>9</v>
      </c>
      <c r="Q8" s="162" t="s">
        <v>9</v>
      </c>
      <c r="R8" s="162" t="s">
        <v>9</v>
      </c>
      <c r="S8" s="162" t="s">
        <v>9</v>
      </c>
      <c r="T8" s="162" t="s">
        <v>9</v>
      </c>
      <c r="U8" s="162" t="s">
        <v>9</v>
      </c>
      <c r="V8" s="162" t="s">
        <v>9</v>
      </c>
      <c r="W8" s="162" t="s">
        <v>9</v>
      </c>
      <c r="X8" s="162" t="s">
        <v>9</v>
      </c>
      <c r="Y8" s="162" t="s">
        <v>9</v>
      </c>
      <c r="Z8" s="162" t="s">
        <v>9</v>
      </c>
      <c r="AA8" s="162" t="s">
        <v>9</v>
      </c>
      <c r="AB8" s="162" t="s">
        <v>9</v>
      </c>
      <c r="AC8" s="162" t="s">
        <v>9</v>
      </c>
      <c r="AD8" s="162" t="s">
        <v>9</v>
      </c>
      <c r="AE8" s="162" t="s">
        <v>9</v>
      </c>
      <c r="AF8" s="162" t="s">
        <v>9</v>
      </c>
      <c r="AG8" s="162" t="s">
        <v>9</v>
      </c>
      <c r="AH8" s="162" t="s">
        <v>9</v>
      </c>
      <c r="AI8" s="162" t="s">
        <v>9</v>
      </c>
      <c r="AJ8" s="162" t="s">
        <v>9</v>
      </c>
      <c r="AK8" s="162" t="s">
        <v>9</v>
      </c>
      <c r="AL8" s="162" t="s">
        <v>9</v>
      </c>
      <c r="AM8" s="162" t="s">
        <v>9</v>
      </c>
      <c r="AN8" s="162" t="s">
        <v>9</v>
      </c>
      <c r="AO8" s="162" t="s">
        <v>9</v>
      </c>
      <c r="AP8" s="162" t="s">
        <v>9</v>
      </c>
      <c r="AQ8" s="162" t="s">
        <v>9</v>
      </c>
      <c r="AR8" s="162" t="s">
        <v>9</v>
      </c>
      <c r="AS8" s="162" t="s">
        <v>9</v>
      </c>
      <c r="AT8" s="162" t="s">
        <v>9</v>
      </c>
      <c r="AU8" s="162" t="s">
        <v>9</v>
      </c>
      <c r="AV8" s="162" t="s">
        <v>9</v>
      </c>
      <c r="AW8" s="162" t="s">
        <v>9</v>
      </c>
      <c r="AX8" s="162" t="s">
        <v>9</v>
      </c>
      <c r="AY8" s="162" t="s">
        <v>9</v>
      </c>
      <c r="AZ8" s="162" t="s">
        <v>9</v>
      </c>
      <c r="BA8" s="162" t="s">
        <v>9</v>
      </c>
      <c r="BB8" s="162" t="s">
        <v>9</v>
      </c>
      <c r="BC8" s="162" t="s">
        <v>9</v>
      </c>
      <c r="BD8" s="162" t="s">
        <v>9</v>
      </c>
      <c r="BE8" s="162" t="s">
        <v>9</v>
      </c>
      <c r="BF8" s="162" t="s">
        <v>9</v>
      </c>
      <c r="BG8" s="162" t="s">
        <v>9</v>
      </c>
      <c r="BH8" s="162" t="s">
        <v>9</v>
      </c>
      <c r="BI8" s="162" t="s">
        <v>9</v>
      </c>
      <c r="BJ8" s="162" t="s">
        <v>9</v>
      </c>
      <c r="BK8" s="194"/>
    </row>
    <row r="9" spans="1:63">
      <c r="A9" s="145" t="s">
        <v>282</v>
      </c>
      <c r="B9" s="146" t="s">
        <v>607</v>
      </c>
      <c r="C9" s="146" t="str">
        <f>IF(COUNTIF(Measure_62443_2_1[[#This Row],[G 0.13 Interception of Compromising Interference Signals]:[OPS.1.1.3.8 Manipulation of data and tools during patch and change management]],"X")&gt;0,"X","")</f>
        <v/>
      </c>
      <c r="D9" s="162" t="s">
        <v>9</v>
      </c>
      <c r="E9" s="162" t="s">
        <v>9</v>
      </c>
      <c r="F9" s="162" t="s">
        <v>9</v>
      </c>
      <c r="G9" s="162" t="s">
        <v>9</v>
      </c>
      <c r="H9" s="162" t="s">
        <v>9</v>
      </c>
      <c r="I9" s="162" t="s">
        <v>9</v>
      </c>
      <c r="J9" s="162" t="s">
        <v>9</v>
      </c>
      <c r="K9" s="162" t="s">
        <v>9</v>
      </c>
      <c r="L9" s="162" t="s">
        <v>9</v>
      </c>
      <c r="M9" s="162" t="s">
        <v>9</v>
      </c>
      <c r="N9" s="162" t="s">
        <v>9</v>
      </c>
      <c r="O9" s="162" t="s">
        <v>9</v>
      </c>
      <c r="P9" s="162" t="s">
        <v>9</v>
      </c>
      <c r="Q9" s="162" t="s">
        <v>9</v>
      </c>
      <c r="R9" s="162" t="s">
        <v>9</v>
      </c>
      <c r="S9" s="162" t="s">
        <v>9</v>
      </c>
      <c r="T9" s="162" t="s">
        <v>9</v>
      </c>
      <c r="U9" s="162" t="s">
        <v>9</v>
      </c>
      <c r="V9" s="162" t="s">
        <v>9</v>
      </c>
      <c r="W9" s="162" t="s">
        <v>9</v>
      </c>
      <c r="X9" s="162" t="s">
        <v>9</v>
      </c>
      <c r="Y9" s="162" t="s">
        <v>9</v>
      </c>
      <c r="Z9" s="162" t="s">
        <v>9</v>
      </c>
      <c r="AA9" s="162" t="s">
        <v>9</v>
      </c>
      <c r="AB9" s="162" t="s">
        <v>9</v>
      </c>
      <c r="AC9" s="162" t="s">
        <v>9</v>
      </c>
      <c r="AD9" s="162" t="s">
        <v>9</v>
      </c>
      <c r="AE9" s="162" t="s">
        <v>9</v>
      </c>
      <c r="AF9" s="162" t="s">
        <v>9</v>
      </c>
      <c r="AG9" s="162" t="s">
        <v>9</v>
      </c>
      <c r="AH9" s="162" t="s">
        <v>9</v>
      </c>
      <c r="AI9" s="162" t="s">
        <v>9</v>
      </c>
      <c r="AJ9" s="162" t="s">
        <v>9</v>
      </c>
      <c r="AK9" s="162" t="s">
        <v>9</v>
      </c>
      <c r="AL9" s="162" t="s">
        <v>9</v>
      </c>
      <c r="AM9" s="162" t="s">
        <v>9</v>
      </c>
      <c r="AN9" s="162" t="s">
        <v>9</v>
      </c>
      <c r="AO9" s="162" t="s">
        <v>9</v>
      </c>
      <c r="AP9" s="162" t="s">
        <v>9</v>
      </c>
      <c r="AQ9" s="162" t="s">
        <v>9</v>
      </c>
      <c r="AR9" s="162" t="s">
        <v>9</v>
      </c>
      <c r="AS9" s="162" t="s">
        <v>9</v>
      </c>
      <c r="AT9" s="162" t="s">
        <v>9</v>
      </c>
      <c r="AU9" s="162" t="s">
        <v>9</v>
      </c>
      <c r="AV9" s="162" t="s">
        <v>9</v>
      </c>
      <c r="AW9" s="162" t="s">
        <v>9</v>
      </c>
      <c r="AX9" s="162" t="s">
        <v>9</v>
      </c>
      <c r="AY9" s="162" t="s">
        <v>9</v>
      </c>
      <c r="AZ9" s="162" t="s">
        <v>9</v>
      </c>
      <c r="BA9" s="162" t="s">
        <v>9</v>
      </c>
      <c r="BB9" s="162" t="s">
        <v>9</v>
      </c>
      <c r="BC9" s="162" t="s">
        <v>9</v>
      </c>
      <c r="BD9" s="162" t="s">
        <v>9</v>
      </c>
      <c r="BE9" s="162" t="s">
        <v>9</v>
      </c>
      <c r="BF9" s="162" t="s">
        <v>9</v>
      </c>
      <c r="BG9" s="162" t="s">
        <v>9</v>
      </c>
      <c r="BH9" s="162" t="s">
        <v>9</v>
      </c>
      <c r="BI9" s="162" t="s">
        <v>9</v>
      </c>
      <c r="BJ9" s="162" t="s">
        <v>9</v>
      </c>
      <c r="BK9" s="194"/>
    </row>
    <row r="10" spans="1:63">
      <c r="A10" s="145" t="s">
        <v>283</v>
      </c>
      <c r="B10" s="146" t="s">
        <v>607</v>
      </c>
      <c r="C10" s="146" t="str">
        <f>IF(COUNTIF(Measure_62443_2_1[[#This Row],[G 0.13 Interception of Compromising Interference Signals]:[OPS.1.1.3.8 Manipulation of data and tools during patch and change management]],"X")&gt;0,"X","")</f>
        <v/>
      </c>
      <c r="D10" s="162" t="s">
        <v>9</v>
      </c>
      <c r="E10" s="162" t="s">
        <v>9</v>
      </c>
      <c r="F10" s="162" t="s">
        <v>9</v>
      </c>
      <c r="G10" s="162" t="s">
        <v>9</v>
      </c>
      <c r="H10" s="162" t="s">
        <v>9</v>
      </c>
      <c r="I10" s="162" t="s">
        <v>9</v>
      </c>
      <c r="J10" s="162" t="s">
        <v>9</v>
      </c>
      <c r="K10" s="162" t="s">
        <v>9</v>
      </c>
      <c r="L10" s="162" t="s">
        <v>9</v>
      </c>
      <c r="M10" s="162" t="s">
        <v>9</v>
      </c>
      <c r="N10" s="162" t="s">
        <v>9</v>
      </c>
      <c r="O10" s="162" t="s">
        <v>9</v>
      </c>
      <c r="P10" s="162" t="s">
        <v>9</v>
      </c>
      <c r="Q10" s="162" t="s">
        <v>9</v>
      </c>
      <c r="R10" s="162" t="s">
        <v>9</v>
      </c>
      <c r="S10" s="162" t="s">
        <v>9</v>
      </c>
      <c r="T10" s="162" t="s">
        <v>9</v>
      </c>
      <c r="U10" s="162" t="s">
        <v>9</v>
      </c>
      <c r="V10" s="162" t="s">
        <v>9</v>
      </c>
      <c r="W10" s="162" t="s">
        <v>9</v>
      </c>
      <c r="X10" s="162" t="s">
        <v>9</v>
      </c>
      <c r="Y10" s="162" t="s">
        <v>9</v>
      </c>
      <c r="Z10" s="162" t="s">
        <v>9</v>
      </c>
      <c r="AA10" s="162" t="s">
        <v>9</v>
      </c>
      <c r="AB10" s="162" t="s">
        <v>9</v>
      </c>
      <c r="AC10" s="162" t="s">
        <v>9</v>
      </c>
      <c r="AD10" s="162" t="s">
        <v>9</v>
      </c>
      <c r="AE10" s="162" t="s">
        <v>9</v>
      </c>
      <c r="AF10" s="162" t="s">
        <v>9</v>
      </c>
      <c r="AG10" s="162" t="s">
        <v>9</v>
      </c>
      <c r="AH10" s="162" t="s">
        <v>9</v>
      </c>
      <c r="AI10" s="162" t="s">
        <v>9</v>
      </c>
      <c r="AJ10" s="162" t="s">
        <v>9</v>
      </c>
      <c r="AK10" s="162" t="s">
        <v>9</v>
      </c>
      <c r="AL10" s="162" t="s">
        <v>9</v>
      </c>
      <c r="AM10" s="162" t="s">
        <v>9</v>
      </c>
      <c r="AN10" s="162" t="s">
        <v>9</v>
      </c>
      <c r="AO10" s="162" t="s">
        <v>9</v>
      </c>
      <c r="AP10" s="162" t="s">
        <v>9</v>
      </c>
      <c r="AQ10" s="162" t="s">
        <v>9</v>
      </c>
      <c r="AR10" s="162" t="s">
        <v>9</v>
      </c>
      <c r="AS10" s="162" t="s">
        <v>9</v>
      </c>
      <c r="AT10" s="162" t="s">
        <v>9</v>
      </c>
      <c r="AU10" s="162" t="s">
        <v>9</v>
      </c>
      <c r="AV10" s="162" t="s">
        <v>9</v>
      </c>
      <c r="AW10" s="162" t="s">
        <v>9</v>
      </c>
      <c r="AX10" s="162" t="s">
        <v>9</v>
      </c>
      <c r="AY10" s="162" t="s">
        <v>9</v>
      </c>
      <c r="AZ10" s="162" t="s">
        <v>9</v>
      </c>
      <c r="BA10" s="162" t="s">
        <v>9</v>
      </c>
      <c r="BB10" s="162" t="s">
        <v>9</v>
      </c>
      <c r="BC10" s="162" t="s">
        <v>9</v>
      </c>
      <c r="BD10" s="162" t="s">
        <v>9</v>
      </c>
      <c r="BE10" s="162" t="s">
        <v>9</v>
      </c>
      <c r="BF10" s="162" t="s">
        <v>9</v>
      </c>
      <c r="BG10" s="162" t="s">
        <v>9</v>
      </c>
      <c r="BH10" s="162" t="s">
        <v>9</v>
      </c>
      <c r="BI10" s="162" t="s">
        <v>9</v>
      </c>
      <c r="BJ10" s="162" t="s">
        <v>9</v>
      </c>
      <c r="BK10" s="194"/>
    </row>
    <row r="11" spans="1:63">
      <c r="A11" s="145" t="s">
        <v>284</v>
      </c>
      <c r="B11" s="146" t="s">
        <v>607</v>
      </c>
      <c r="C11" s="146" t="str">
        <f>IF(COUNTIF(Measure_62443_2_1[[#This Row],[G 0.13 Interception of Compromising Interference Signals]:[OPS.1.1.3.8 Manipulation of data and tools during patch and change management]],"X")&gt;0,"X","")</f>
        <v/>
      </c>
      <c r="D11" s="162" t="s">
        <v>9</v>
      </c>
      <c r="E11" s="162" t="s">
        <v>9</v>
      </c>
      <c r="F11" s="162" t="s">
        <v>9</v>
      </c>
      <c r="G11" s="162" t="s">
        <v>9</v>
      </c>
      <c r="H11" s="162" t="s">
        <v>9</v>
      </c>
      <c r="I11" s="162" t="s">
        <v>9</v>
      </c>
      <c r="J11" s="162" t="s">
        <v>9</v>
      </c>
      <c r="K11" s="162" t="s">
        <v>9</v>
      </c>
      <c r="L11" s="162" t="s">
        <v>9</v>
      </c>
      <c r="M11" s="162" t="s">
        <v>9</v>
      </c>
      <c r="N11" s="162" t="s">
        <v>9</v>
      </c>
      <c r="O11" s="162" t="s">
        <v>9</v>
      </c>
      <c r="P11" s="162" t="s">
        <v>9</v>
      </c>
      <c r="Q11" s="162" t="s">
        <v>9</v>
      </c>
      <c r="R11" s="162" t="s">
        <v>9</v>
      </c>
      <c r="S11" s="162" t="s">
        <v>9</v>
      </c>
      <c r="T11" s="162" t="s">
        <v>9</v>
      </c>
      <c r="U11" s="162" t="s">
        <v>9</v>
      </c>
      <c r="V11" s="162" t="s">
        <v>9</v>
      </c>
      <c r="W11" s="162" t="s">
        <v>9</v>
      </c>
      <c r="X11" s="162" t="s">
        <v>9</v>
      </c>
      <c r="Y11" s="162" t="s">
        <v>9</v>
      </c>
      <c r="Z11" s="162" t="s">
        <v>9</v>
      </c>
      <c r="AA11" s="162" t="s">
        <v>9</v>
      </c>
      <c r="AB11" s="162" t="s">
        <v>9</v>
      </c>
      <c r="AC11" s="162" t="s">
        <v>9</v>
      </c>
      <c r="AD11" s="162" t="s">
        <v>9</v>
      </c>
      <c r="AE11" s="162" t="s">
        <v>9</v>
      </c>
      <c r="AF11" s="162" t="s">
        <v>9</v>
      </c>
      <c r="AG11" s="162" t="s">
        <v>9</v>
      </c>
      <c r="AH11" s="162" t="s">
        <v>9</v>
      </c>
      <c r="AI11" s="162" t="s">
        <v>9</v>
      </c>
      <c r="AJ11" s="162" t="s">
        <v>9</v>
      </c>
      <c r="AK11" s="162" t="s">
        <v>9</v>
      </c>
      <c r="AL11" s="162" t="s">
        <v>9</v>
      </c>
      <c r="AM11" s="162" t="s">
        <v>9</v>
      </c>
      <c r="AN11" s="162" t="s">
        <v>9</v>
      </c>
      <c r="AO11" s="162" t="s">
        <v>9</v>
      </c>
      <c r="AP11" s="162" t="s">
        <v>9</v>
      </c>
      <c r="AQ11" s="162" t="s">
        <v>9</v>
      </c>
      <c r="AR11" s="162" t="s">
        <v>9</v>
      </c>
      <c r="AS11" s="162" t="s">
        <v>9</v>
      </c>
      <c r="AT11" s="162" t="s">
        <v>9</v>
      </c>
      <c r="AU11" s="162" t="s">
        <v>9</v>
      </c>
      <c r="AV11" s="162" t="s">
        <v>9</v>
      </c>
      <c r="AW11" s="162" t="s">
        <v>9</v>
      </c>
      <c r="AX11" s="162" t="s">
        <v>9</v>
      </c>
      <c r="AY11" s="162" t="s">
        <v>9</v>
      </c>
      <c r="AZ11" s="162" t="s">
        <v>9</v>
      </c>
      <c r="BA11" s="162" t="s">
        <v>9</v>
      </c>
      <c r="BB11" s="162" t="s">
        <v>9</v>
      </c>
      <c r="BC11" s="162" t="s">
        <v>9</v>
      </c>
      <c r="BD11" s="162" t="s">
        <v>9</v>
      </c>
      <c r="BE11" s="162" t="s">
        <v>9</v>
      </c>
      <c r="BF11" s="162" t="s">
        <v>9</v>
      </c>
      <c r="BG11" s="162" t="s">
        <v>9</v>
      </c>
      <c r="BH11" s="162" t="s">
        <v>9</v>
      </c>
      <c r="BI11" s="162" t="s">
        <v>9</v>
      </c>
      <c r="BJ11" s="162" t="s">
        <v>9</v>
      </c>
      <c r="BK11" s="194"/>
    </row>
    <row r="12" spans="1:63">
      <c r="A12" s="145" t="s">
        <v>285</v>
      </c>
      <c r="B12" s="146" t="s">
        <v>607</v>
      </c>
      <c r="C12" s="146" t="str">
        <f>IF(COUNTIF(Measure_62443_2_1[[#This Row],[G 0.13 Interception of Compromising Interference Signals]:[OPS.1.1.3.8 Manipulation of data and tools during patch and change management]],"X")&gt;0,"X","")</f>
        <v/>
      </c>
      <c r="D12" s="162" t="s">
        <v>9</v>
      </c>
      <c r="E12" s="162" t="s">
        <v>9</v>
      </c>
      <c r="F12" s="162" t="s">
        <v>9</v>
      </c>
      <c r="G12" s="162" t="s">
        <v>9</v>
      </c>
      <c r="H12" s="162" t="s">
        <v>9</v>
      </c>
      <c r="I12" s="162" t="s">
        <v>9</v>
      </c>
      <c r="J12" s="162" t="s">
        <v>9</v>
      </c>
      <c r="K12" s="162" t="s">
        <v>9</v>
      </c>
      <c r="L12" s="162" t="s">
        <v>9</v>
      </c>
      <c r="M12" s="162" t="s">
        <v>9</v>
      </c>
      <c r="N12" s="162" t="s">
        <v>9</v>
      </c>
      <c r="O12" s="162" t="s">
        <v>9</v>
      </c>
      <c r="P12" s="162" t="s">
        <v>9</v>
      </c>
      <c r="Q12" s="162" t="s">
        <v>9</v>
      </c>
      <c r="R12" s="162" t="s">
        <v>9</v>
      </c>
      <c r="S12" s="162" t="s">
        <v>9</v>
      </c>
      <c r="T12" s="162" t="s">
        <v>9</v>
      </c>
      <c r="U12" s="162" t="s">
        <v>9</v>
      </c>
      <c r="V12" s="162" t="s">
        <v>9</v>
      </c>
      <c r="W12" s="162" t="s">
        <v>9</v>
      </c>
      <c r="X12" s="162" t="s">
        <v>9</v>
      </c>
      <c r="Y12" s="162" t="s">
        <v>9</v>
      </c>
      <c r="Z12" s="162" t="s">
        <v>9</v>
      </c>
      <c r="AA12" s="162" t="s">
        <v>9</v>
      </c>
      <c r="AB12" s="162" t="s">
        <v>9</v>
      </c>
      <c r="AC12" s="162" t="s">
        <v>9</v>
      </c>
      <c r="AD12" s="162" t="s">
        <v>9</v>
      </c>
      <c r="AE12" s="162" t="s">
        <v>9</v>
      </c>
      <c r="AF12" s="162" t="s">
        <v>9</v>
      </c>
      <c r="AG12" s="162" t="s">
        <v>9</v>
      </c>
      <c r="AH12" s="162" t="s">
        <v>9</v>
      </c>
      <c r="AI12" s="162" t="s">
        <v>9</v>
      </c>
      <c r="AJ12" s="162" t="s">
        <v>9</v>
      </c>
      <c r="AK12" s="162" t="s">
        <v>9</v>
      </c>
      <c r="AL12" s="162" t="s">
        <v>9</v>
      </c>
      <c r="AM12" s="162" t="s">
        <v>9</v>
      </c>
      <c r="AN12" s="162" t="s">
        <v>9</v>
      </c>
      <c r="AO12" s="162" t="s">
        <v>9</v>
      </c>
      <c r="AP12" s="162" t="s">
        <v>9</v>
      </c>
      <c r="AQ12" s="162" t="s">
        <v>9</v>
      </c>
      <c r="AR12" s="162" t="s">
        <v>9</v>
      </c>
      <c r="AS12" s="162" t="s">
        <v>9</v>
      </c>
      <c r="AT12" s="162" t="s">
        <v>9</v>
      </c>
      <c r="AU12" s="162" t="s">
        <v>9</v>
      </c>
      <c r="AV12" s="162" t="s">
        <v>9</v>
      </c>
      <c r="AW12" s="162" t="s">
        <v>9</v>
      </c>
      <c r="AX12" s="162" t="s">
        <v>9</v>
      </c>
      <c r="AY12" s="162" t="s">
        <v>9</v>
      </c>
      <c r="AZ12" s="162" t="s">
        <v>9</v>
      </c>
      <c r="BA12" s="162" t="s">
        <v>9</v>
      </c>
      <c r="BB12" s="162" t="s">
        <v>9</v>
      </c>
      <c r="BC12" s="162" t="s">
        <v>9</v>
      </c>
      <c r="BD12" s="162" t="s">
        <v>9</v>
      </c>
      <c r="BE12" s="162" t="s">
        <v>9</v>
      </c>
      <c r="BF12" s="162" t="s">
        <v>9</v>
      </c>
      <c r="BG12" s="162" t="s">
        <v>9</v>
      </c>
      <c r="BH12" s="162" t="s">
        <v>9</v>
      </c>
      <c r="BI12" s="162" t="s">
        <v>9</v>
      </c>
      <c r="BJ12" s="162" t="s">
        <v>9</v>
      </c>
      <c r="BK12" s="194"/>
    </row>
    <row r="13" spans="1:63">
      <c r="A13" s="145" t="s">
        <v>286</v>
      </c>
      <c r="B13" s="146" t="s">
        <v>607</v>
      </c>
      <c r="C13" s="146" t="str">
        <f>IF(COUNTIF(Measure_62443_2_1[[#This Row],[G 0.13 Interception of Compromising Interference Signals]:[OPS.1.1.3.8 Manipulation of data and tools during patch and change management]],"X")&gt;0,"X","")</f>
        <v/>
      </c>
      <c r="D13" s="162" t="s">
        <v>9</v>
      </c>
      <c r="E13" s="162" t="s">
        <v>9</v>
      </c>
      <c r="F13" s="162" t="s">
        <v>9</v>
      </c>
      <c r="G13" s="162" t="s">
        <v>9</v>
      </c>
      <c r="H13" s="162" t="s">
        <v>9</v>
      </c>
      <c r="I13" s="162" t="s">
        <v>9</v>
      </c>
      <c r="J13" s="162" t="s">
        <v>9</v>
      </c>
      <c r="K13" s="162" t="s">
        <v>9</v>
      </c>
      <c r="L13" s="162" t="s">
        <v>9</v>
      </c>
      <c r="M13" s="162" t="s">
        <v>9</v>
      </c>
      <c r="N13" s="162" t="s">
        <v>9</v>
      </c>
      <c r="O13" s="162" t="s">
        <v>9</v>
      </c>
      <c r="P13" s="162" t="s">
        <v>9</v>
      </c>
      <c r="Q13" s="162" t="s">
        <v>9</v>
      </c>
      <c r="R13" s="162" t="s">
        <v>9</v>
      </c>
      <c r="S13" s="162" t="s">
        <v>9</v>
      </c>
      <c r="T13" s="162" t="s">
        <v>9</v>
      </c>
      <c r="U13" s="162" t="s">
        <v>9</v>
      </c>
      <c r="V13" s="162" t="s">
        <v>9</v>
      </c>
      <c r="W13" s="162" t="s">
        <v>9</v>
      </c>
      <c r="X13" s="162" t="s">
        <v>9</v>
      </c>
      <c r="Y13" s="162" t="s">
        <v>9</v>
      </c>
      <c r="Z13" s="162" t="s">
        <v>9</v>
      </c>
      <c r="AA13" s="162" t="s">
        <v>9</v>
      </c>
      <c r="AB13" s="162" t="s">
        <v>9</v>
      </c>
      <c r="AC13" s="162" t="s">
        <v>9</v>
      </c>
      <c r="AD13" s="162" t="s">
        <v>9</v>
      </c>
      <c r="AE13" s="162" t="s">
        <v>9</v>
      </c>
      <c r="AF13" s="162" t="s">
        <v>9</v>
      </c>
      <c r="AG13" s="162" t="s">
        <v>9</v>
      </c>
      <c r="AH13" s="162" t="s">
        <v>9</v>
      </c>
      <c r="AI13" s="162" t="s">
        <v>9</v>
      </c>
      <c r="AJ13" s="162" t="s">
        <v>9</v>
      </c>
      <c r="AK13" s="162" t="s">
        <v>9</v>
      </c>
      <c r="AL13" s="162" t="s">
        <v>9</v>
      </c>
      <c r="AM13" s="162" t="s">
        <v>9</v>
      </c>
      <c r="AN13" s="162" t="s">
        <v>9</v>
      </c>
      <c r="AO13" s="162" t="s">
        <v>9</v>
      </c>
      <c r="AP13" s="162" t="s">
        <v>9</v>
      </c>
      <c r="AQ13" s="162" t="s">
        <v>9</v>
      </c>
      <c r="AR13" s="162" t="s">
        <v>9</v>
      </c>
      <c r="AS13" s="162" t="s">
        <v>9</v>
      </c>
      <c r="AT13" s="162" t="s">
        <v>9</v>
      </c>
      <c r="AU13" s="162" t="s">
        <v>9</v>
      </c>
      <c r="AV13" s="162" t="s">
        <v>9</v>
      </c>
      <c r="AW13" s="162" t="s">
        <v>9</v>
      </c>
      <c r="AX13" s="162" t="s">
        <v>9</v>
      </c>
      <c r="AY13" s="162" t="s">
        <v>9</v>
      </c>
      <c r="AZ13" s="162" t="s">
        <v>9</v>
      </c>
      <c r="BA13" s="162" t="s">
        <v>9</v>
      </c>
      <c r="BB13" s="162" t="s">
        <v>9</v>
      </c>
      <c r="BC13" s="162" t="s">
        <v>9</v>
      </c>
      <c r="BD13" s="162" t="s">
        <v>9</v>
      </c>
      <c r="BE13" s="162" t="s">
        <v>9</v>
      </c>
      <c r="BF13" s="162" t="s">
        <v>9</v>
      </c>
      <c r="BG13" s="162" t="s">
        <v>9</v>
      </c>
      <c r="BH13" s="162" t="s">
        <v>9</v>
      </c>
      <c r="BI13" s="162" t="s">
        <v>9</v>
      </c>
      <c r="BJ13" s="162" t="s">
        <v>9</v>
      </c>
      <c r="BK13" s="194"/>
    </row>
    <row r="14" spans="1:63">
      <c r="A14" s="145" t="s">
        <v>287</v>
      </c>
      <c r="B14" s="146" t="s">
        <v>607</v>
      </c>
      <c r="C14" s="146" t="str">
        <f>IF(COUNTIF(Measure_62443_2_1[[#This Row],[G 0.13 Interception of Compromising Interference Signals]:[OPS.1.1.3.8 Manipulation of data and tools during patch and change management]],"X")&gt;0,"X","")</f>
        <v/>
      </c>
      <c r="D14" s="162" t="s">
        <v>9</v>
      </c>
      <c r="E14" s="162" t="s">
        <v>9</v>
      </c>
      <c r="F14" s="162" t="s">
        <v>9</v>
      </c>
      <c r="G14" s="162" t="s">
        <v>9</v>
      </c>
      <c r="H14" s="162" t="s">
        <v>9</v>
      </c>
      <c r="I14" s="162" t="s">
        <v>9</v>
      </c>
      <c r="J14" s="162" t="s">
        <v>9</v>
      </c>
      <c r="K14" s="162" t="s">
        <v>9</v>
      </c>
      <c r="L14" s="162" t="s">
        <v>9</v>
      </c>
      <c r="M14" s="162" t="s">
        <v>9</v>
      </c>
      <c r="N14" s="162" t="s">
        <v>9</v>
      </c>
      <c r="O14" s="162" t="s">
        <v>9</v>
      </c>
      <c r="P14" s="162" t="s">
        <v>9</v>
      </c>
      <c r="Q14" s="162" t="s">
        <v>9</v>
      </c>
      <c r="R14" s="162" t="s">
        <v>9</v>
      </c>
      <c r="S14" s="162" t="s">
        <v>9</v>
      </c>
      <c r="T14" s="162" t="s">
        <v>9</v>
      </c>
      <c r="U14" s="162" t="s">
        <v>9</v>
      </c>
      <c r="V14" s="162" t="s">
        <v>9</v>
      </c>
      <c r="W14" s="162" t="s">
        <v>9</v>
      </c>
      <c r="X14" s="162" t="s">
        <v>9</v>
      </c>
      <c r="Y14" s="162" t="s">
        <v>9</v>
      </c>
      <c r="Z14" s="162" t="s">
        <v>9</v>
      </c>
      <c r="AA14" s="162" t="s">
        <v>9</v>
      </c>
      <c r="AB14" s="162" t="s">
        <v>9</v>
      </c>
      <c r="AC14" s="162" t="s">
        <v>9</v>
      </c>
      <c r="AD14" s="162" t="s">
        <v>9</v>
      </c>
      <c r="AE14" s="162" t="s">
        <v>9</v>
      </c>
      <c r="AF14" s="162" t="s">
        <v>9</v>
      </c>
      <c r="AG14" s="162" t="s">
        <v>9</v>
      </c>
      <c r="AH14" s="162" t="s">
        <v>9</v>
      </c>
      <c r="AI14" s="162" t="s">
        <v>9</v>
      </c>
      <c r="AJ14" s="162" t="s">
        <v>9</v>
      </c>
      <c r="AK14" s="162" t="s">
        <v>9</v>
      </c>
      <c r="AL14" s="162" t="s">
        <v>9</v>
      </c>
      <c r="AM14" s="162" t="s">
        <v>9</v>
      </c>
      <c r="AN14" s="162" t="s">
        <v>9</v>
      </c>
      <c r="AO14" s="162" t="s">
        <v>9</v>
      </c>
      <c r="AP14" s="162" t="s">
        <v>9</v>
      </c>
      <c r="AQ14" s="162" t="s">
        <v>9</v>
      </c>
      <c r="AR14" s="162" t="s">
        <v>9</v>
      </c>
      <c r="AS14" s="162" t="s">
        <v>9</v>
      </c>
      <c r="AT14" s="162" t="s">
        <v>9</v>
      </c>
      <c r="AU14" s="162" t="s">
        <v>9</v>
      </c>
      <c r="AV14" s="162" t="s">
        <v>9</v>
      </c>
      <c r="AW14" s="162" t="s">
        <v>9</v>
      </c>
      <c r="AX14" s="162" t="s">
        <v>9</v>
      </c>
      <c r="AY14" s="162" t="s">
        <v>9</v>
      </c>
      <c r="AZ14" s="162" t="s">
        <v>9</v>
      </c>
      <c r="BA14" s="162" t="s">
        <v>9</v>
      </c>
      <c r="BB14" s="162" t="s">
        <v>9</v>
      </c>
      <c r="BC14" s="162" t="s">
        <v>9</v>
      </c>
      <c r="BD14" s="162" t="s">
        <v>9</v>
      </c>
      <c r="BE14" s="162" t="s">
        <v>9</v>
      </c>
      <c r="BF14" s="162" t="s">
        <v>9</v>
      </c>
      <c r="BG14" s="162" t="s">
        <v>9</v>
      </c>
      <c r="BH14" s="162" t="s">
        <v>9</v>
      </c>
      <c r="BI14" s="162" t="s">
        <v>9</v>
      </c>
      <c r="BJ14" s="162" t="s">
        <v>9</v>
      </c>
      <c r="BK14" s="194"/>
    </row>
    <row r="15" spans="1:63">
      <c r="A15" s="145" t="s">
        <v>288</v>
      </c>
      <c r="B15" s="146" t="s">
        <v>607</v>
      </c>
      <c r="C15" s="146" t="str">
        <f>IF(COUNTIF(Measure_62443_2_1[[#This Row],[G 0.13 Interception of Compromising Interference Signals]:[OPS.1.1.3.8 Manipulation of data and tools during patch and change management]],"X")&gt;0,"X","")</f>
        <v/>
      </c>
      <c r="D15" s="162" t="s">
        <v>9</v>
      </c>
      <c r="E15" s="162" t="s">
        <v>9</v>
      </c>
      <c r="F15" s="162" t="s">
        <v>9</v>
      </c>
      <c r="G15" s="162" t="s">
        <v>9</v>
      </c>
      <c r="H15" s="162" t="s">
        <v>9</v>
      </c>
      <c r="I15" s="162" t="s">
        <v>9</v>
      </c>
      <c r="J15" s="162" t="s">
        <v>9</v>
      </c>
      <c r="K15" s="162" t="s">
        <v>9</v>
      </c>
      <c r="L15" s="162" t="s">
        <v>9</v>
      </c>
      <c r="M15" s="162" t="s">
        <v>9</v>
      </c>
      <c r="N15" s="162" t="s">
        <v>9</v>
      </c>
      <c r="O15" s="162" t="s">
        <v>9</v>
      </c>
      <c r="P15" s="162" t="s">
        <v>9</v>
      </c>
      <c r="Q15" s="162" t="s">
        <v>9</v>
      </c>
      <c r="R15" s="162" t="s">
        <v>9</v>
      </c>
      <c r="S15" s="162" t="s">
        <v>9</v>
      </c>
      <c r="T15" s="162" t="s">
        <v>9</v>
      </c>
      <c r="U15" s="162" t="s">
        <v>9</v>
      </c>
      <c r="V15" s="162" t="s">
        <v>9</v>
      </c>
      <c r="W15" s="162" t="s">
        <v>9</v>
      </c>
      <c r="X15" s="162" t="s">
        <v>9</v>
      </c>
      <c r="Y15" s="162" t="s">
        <v>9</v>
      </c>
      <c r="Z15" s="162" t="s">
        <v>9</v>
      </c>
      <c r="AA15" s="162" t="s">
        <v>9</v>
      </c>
      <c r="AB15" s="162" t="s">
        <v>9</v>
      </c>
      <c r="AC15" s="162" t="s">
        <v>9</v>
      </c>
      <c r="AD15" s="162" t="s">
        <v>9</v>
      </c>
      <c r="AE15" s="162" t="s">
        <v>9</v>
      </c>
      <c r="AF15" s="162" t="s">
        <v>9</v>
      </c>
      <c r="AG15" s="162" t="s">
        <v>9</v>
      </c>
      <c r="AH15" s="162" t="s">
        <v>9</v>
      </c>
      <c r="AI15" s="162" t="s">
        <v>9</v>
      </c>
      <c r="AJ15" s="162" t="s">
        <v>9</v>
      </c>
      <c r="AK15" s="162" t="s">
        <v>9</v>
      </c>
      <c r="AL15" s="162" t="s">
        <v>9</v>
      </c>
      <c r="AM15" s="162" t="s">
        <v>9</v>
      </c>
      <c r="AN15" s="162" t="s">
        <v>9</v>
      </c>
      <c r="AO15" s="162" t="s">
        <v>9</v>
      </c>
      <c r="AP15" s="162" t="s">
        <v>9</v>
      </c>
      <c r="AQ15" s="162" t="s">
        <v>9</v>
      </c>
      <c r="AR15" s="162" t="s">
        <v>9</v>
      </c>
      <c r="AS15" s="162" t="s">
        <v>9</v>
      </c>
      <c r="AT15" s="162" t="s">
        <v>9</v>
      </c>
      <c r="AU15" s="162" t="s">
        <v>9</v>
      </c>
      <c r="AV15" s="162" t="s">
        <v>9</v>
      </c>
      <c r="AW15" s="162" t="s">
        <v>9</v>
      </c>
      <c r="AX15" s="162" t="s">
        <v>9</v>
      </c>
      <c r="AY15" s="162" t="s">
        <v>9</v>
      </c>
      <c r="AZ15" s="162" t="s">
        <v>9</v>
      </c>
      <c r="BA15" s="162" t="s">
        <v>9</v>
      </c>
      <c r="BB15" s="162" t="s">
        <v>9</v>
      </c>
      <c r="BC15" s="162" t="s">
        <v>9</v>
      </c>
      <c r="BD15" s="162" t="s">
        <v>9</v>
      </c>
      <c r="BE15" s="162" t="s">
        <v>9</v>
      </c>
      <c r="BF15" s="162" t="s">
        <v>9</v>
      </c>
      <c r="BG15" s="162" t="s">
        <v>9</v>
      </c>
      <c r="BH15" s="162" t="s">
        <v>9</v>
      </c>
      <c r="BI15" s="162" t="s">
        <v>9</v>
      </c>
      <c r="BJ15" s="162" t="s">
        <v>9</v>
      </c>
      <c r="BK15" s="194"/>
    </row>
    <row r="16" spans="1:63">
      <c r="A16" s="145" t="s">
        <v>289</v>
      </c>
      <c r="B16" s="146" t="s">
        <v>607</v>
      </c>
      <c r="C16" s="146" t="str">
        <f>IF(COUNTIF(Measure_62443_2_1[[#This Row],[G 0.13 Interception of Compromising Interference Signals]:[OPS.1.1.3.8 Manipulation of data and tools during patch and change management]],"X")&gt;0,"X","")</f>
        <v/>
      </c>
      <c r="D16" s="162" t="s">
        <v>9</v>
      </c>
      <c r="E16" s="162" t="s">
        <v>9</v>
      </c>
      <c r="F16" s="162" t="s">
        <v>9</v>
      </c>
      <c r="G16" s="162" t="s">
        <v>9</v>
      </c>
      <c r="H16" s="162" t="s">
        <v>9</v>
      </c>
      <c r="I16" s="162" t="s">
        <v>9</v>
      </c>
      <c r="J16" s="162" t="s">
        <v>9</v>
      </c>
      <c r="K16" s="162" t="s">
        <v>9</v>
      </c>
      <c r="L16" s="162" t="s">
        <v>9</v>
      </c>
      <c r="M16" s="162" t="s">
        <v>9</v>
      </c>
      <c r="N16" s="162" t="s">
        <v>9</v>
      </c>
      <c r="O16" s="162" t="s">
        <v>9</v>
      </c>
      <c r="P16" s="162" t="s">
        <v>9</v>
      </c>
      <c r="Q16" s="162" t="s">
        <v>9</v>
      </c>
      <c r="R16" s="162" t="s">
        <v>9</v>
      </c>
      <c r="S16" s="162" t="s">
        <v>9</v>
      </c>
      <c r="T16" s="162" t="s">
        <v>9</v>
      </c>
      <c r="U16" s="162" t="s">
        <v>9</v>
      </c>
      <c r="V16" s="162" t="s">
        <v>9</v>
      </c>
      <c r="W16" s="162" t="s">
        <v>9</v>
      </c>
      <c r="X16" s="162" t="s">
        <v>9</v>
      </c>
      <c r="Y16" s="162" t="s">
        <v>9</v>
      </c>
      <c r="Z16" s="162" t="s">
        <v>9</v>
      </c>
      <c r="AA16" s="162" t="s">
        <v>9</v>
      </c>
      <c r="AB16" s="162" t="s">
        <v>9</v>
      </c>
      <c r="AC16" s="162" t="s">
        <v>9</v>
      </c>
      <c r="AD16" s="162" t="s">
        <v>9</v>
      </c>
      <c r="AE16" s="162" t="s">
        <v>9</v>
      </c>
      <c r="AF16" s="162" t="s">
        <v>9</v>
      </c>
      <c r="AG16" s="162" t="s">
        <v>9</v>
      </c>
      <c r="AH16" s="162" t="s">
        <v>9</v>
      </c>
      <c r="AI16" s="162" t="s">
        <v>9</v>
      </c>
      <c r="AJ16" s="162" t="s">
        <v>9</v>
      </c>
      <c r="AK16" s="162" t="s">
        <v>9</v>
      </c>
      <c r="AL16" s="162" t="s">
        <v>9</v>
      </c>
      <c r="AM16" s="162" t="s">
        <v>9</v>
      </c>
      <c r="AN16" s="162" t="s">
        <v>9</v>
      </c>
      <c r="AO16" s="162" t="s">
        <v>9</v>
      </c>
      <c r="AP16" s="162" t="s">
        <v>9</v>
      </c>
      <c r="AQ16" s="162" t="s">
        <v>9</v>
      </c>
      <c r="AR16" s="162" t="s">
        <v>9</v>
      </c>
      <c r="AS16" s="162" t="s">
        <v>9</v>
      </c>
      <c r="AT16" s="162" t="s">
        <v>9</v>
      </c>
      <c r="AU16" s="162" t="s">
        <v>9</v>
      </c>
      <c r="AV16" s="162" t="s">
        <v>9</v>
      </c>
      <c r="AW16" s="162" t="s">
        <v>9</v>
      </c>
      <c r="AX16" s="162" t="s">
        <v>9</v>
      </c>
      <c r="AY16" s="162" t="s">
        <v>9</v>
      </c>
      <c r="AZ16" s="162" t="s">
        <v>9</v>
      </c>
      <c r="BA16" s="162" t="s">
        <v>9</v>
      </c>
      <c r="BB16" s="162" t="s">
        <v>9</v>
      </c>
      <c r="BC16" s="162" t="s">
        <v>9</v>
      </c>
      <c r="BD16" s="162" t="s">
        <v>9</v>
      </c>
      <c r="BE16" s="162" t="s">
        <v>9</v>
      </c>
      <c r="BF16" s="162" t="s">
        <v>9</v>
      </c>
      <c r="BG16" s="162" t="s">
        <v>9</v>
      </c>
      <c r="BH16" s="162" t="s">
        <v>9</v>
      </c>
      <c r="BI16" s="162" t="s">
        <v>9</v>
      </c>
      <c r="BJ16" s="162" t="s">
        <v>9</v>
      </c>
      <c r="BK16" s="194"/>
    </row>
    <row r="17" spans="1:63">
      <c r="A17" s="145" t="s">
        <v>290</v>
      </c>
      <c r="B17" s="146" t="s">
        <v>607</v>
      </c>
      <c r="C17" s="146" t="str">
        <f>IF(COUNTIF(Measure_62443_2_1[[#This Row],[G 0.13 Interception of Compromising Interference Signals]:[OPS.1.1.3.8 Manipulation of data and tools during patch and change management]],"X")&gt;0,"X","")</f>
        <v/>
      </c>
      <c r="D17" s="162" t="s">
        <v>9</v>
      </c>
      <c r="E17" s="162" t="s">
        <v>9</v>
      </c>
      <c r="F17" s="162" t="s">
        <v>9</v>
      </c>
      <c r="G17" s="162" t="s">
        <v>9</v>
      </c>
      <c r="H17" s="162" t="s">
        <v>9</v>
      </c>
      <c r="I17" s="162" t="s">
        <v>9</v>
      </c>
      <c r="J17" s="162" t="s">
        <v>9</v>
      </c>
      <c r="K17" s="162" t="s">
        <v>9</v>
      </c>
      <c r="L17" s="162" t="s">
        <v>9</v>
      </c>
      <c r="M17" s="162" t="s">
        <v>9</v>
      </c>
      <c r="N17" s="162" t="s">
        <v>9</v>
      </c>
      <c r="O17" s="162" t="s">
        <v>9</v>
      </c>
      <c r="P17" s="162" t="s">
        <v>9</v>
      </c>
      <c r="Q17" s="162" t="s">
        <v>9</v>
      </c>
      <c r="R17" s="162" t="s">
        <v>9</v>
      </c>
      <c r="S17" s="162" t="s">
        <v>9</v>
      </c>
      <c r="T17" s="162" t="s">
        <v>9</v>
      </c>
      <c r="U17" s="162" t="s">
        <v>9</v>
      </c>
      <c r="V17" s="162" t="s">
        <v>9</v>
      </c>
      <c r="W17" s="162" t="s">
        <v>9</v>
      </c>
      <c r="X17" s="162" t="s">
        <v>9</v>
      </c>
      <c r="Y17" s="162" t="s">
        <v>9</v>
      </c>
      <c r="Z17" s="162" t="s">
        <v>9</v>
      </c>
      <c r="AA17" s="162" t="s">
        <v>9</v>
      </c>
      <c r="AB17" s="162" t="s">
        <v>9</v>
      </c>
      <c r="AC17" s="162" t="s">
        <v>9</v>
      </c>
      <c r="AD17" s="162" t="s">
        <v>9</v>
      </c>
      <c r="AE17" s="162" t="s">
        <v>9</v>
      </c>
      <c r="AF17" s="162" t="s">
        <v>9</v>
      </c>
      <c r="AG17" s="162" t="s">
        <v>9</v>
      </c>
      <c r="AH17" s="162" t="s">
        <v>9</v>
      </c>
      <c r="AI17" s="162" t="s">
        <v>9</v>
      </c>
      <c r="AJ17" s="162" t="s">
        <v>9</v>
      </c>
      <c r="AK17" s="162" t="s">
        <v>9</v>
      </c>
      <c r="AL17" s="162" t="s">
        <v>9</v>
      </c>
      <c r="AM17" s="162" t="s">
        <v>9</v>
      </c>
      <c r="AN17" s="162" t="s">
        <v>9</v>
      </c>
      <c r="AO17" s="162" t="s">
        <v>9</v>
      </c>
      <c r="AP17" s="162" t="s">
        <v>9</v>
      </c>
      <c r="AQ17" s="162" t="s">
        <v>9</v>
      </c>
      <c r="AR17" s="162" t="s">
        <v>9</v>
      </c>
      <c r="AS17" s="162" t="s">
        <v>9</v>
      </c>
      <c r="AT17" s="162" t="s">
        <v>9</v>
      </c>
      <c r="AU17" s="162" t="s">
        <v>9</v>
      </c>
      <c r="AV17" s="162" t="s">
        <v>9</v>
      </c>
      <c r="AW17" s="162" t="s">
        <v>9</v>
      </c>
      <c r="AX17" s="162" t="s">
        <v>9</v>
      </c>
      <c r="AY17" s="162" t="s">
        <v>9</v>
      </c>
      <c r="AZ17" s="162" t="s">
        <v>9</v>
      </c>
      <c r="BA17" s="162" t="s">
        <v>9</v>
      </c>
      <c r="BB17" s="162" t="s">
        <v>9</v>
      </c>
      <c r="BC17" s="162" t="s">
        <v>9</v>
      </c>
      <c r="BD17" s="162" t="s">
        <v>9</v>
      </c>
      <c r="BE17" s="162" t="s">
        <v>9</v>
      </c>
      <c r="BF17" s="162" t="s">
        <v>9</v>
      </c>
      <c r="BG17" s="162" t="s">
        <v>9</v>
      </c>
      <c r="BH17" s="162" t="s">
        <v>9</v>
      </c>
      <c r="BI17" s="162" t="s">
        <v>9</v>
      </c>
      <c r="BJ17" s="162" t="s">
        <v>9</v>
      </c>
      <c r="BK17" s="194"/>
    </row>
    <row r="18" spans="1:63">
      <c r="A18" s="145" t="s">
        <v>291</v>
      </c>
      <c r="B18" s="146" t="s">
        <v>607</v>
      </c>
      <c r="C18" s="146" t="str">
        <f>IF(COUNTIF(Measure_62443_2_1[[#This Row],[G 0.13 Interception of Compromising Interference Signals]:[OPS.1.1.3.8 Manipulation of data and tools during patch and change management]],"X")&gt;0,"X","")</f>
        <v/>
      </c>
      <c r="D18" s="162" t="s">
        <v>9</v>
      </c>
      <c r="E18" s="162" t="s">
        <v>9</v>
      </c>
      <c r="F18" s="162" t="s">
        <v>9</v>
      </c>
      <c r="G18" s="162" t="s">
        <v>9</v>
      </c>
      <c r="H18" s="162" t="s">
        <v>9</v>
      </c>
      <c r="I18" s="162" t="s">
        <v>9</v>
      </c>
      <c r="J18" s="162" t="s">
        <v>9</v>
      </c>
      <c r="K18" s="162" t="s">
        <v>9</v>
      </c>
      <c r="L18" s="162" t="s">
        <v>9</v>
      </c>
      <c r="M18" s="162" t="s">
        <v>9</v>
      </c>
      <c r="N18" s="162" t="s">
        <v>9</v>
      </c>
      <c r="O18" s="162" t="s">
        <v>9</v>
      </c>
      <c r="P18" s="162" t="s">
        <v>9</v>
      </c>
      <c r="Q18" s="162" t="s">
        <v>9</v>
      </c>
      <c r="R18" s="162" t="s">
        <v>9</v>
      </c>
      <c r="S18" s="162" t="s">
        <v>9</v>
      </c>
      <c r="T18" s="162" t="s">
        <v>9</v>
      </c>
      <c r="U18" s="162" t="s">
        <v>9</v>
      </c>
      <c r="V18" s="162" t="s">
        <v>9</v>
      </c>
      <c r="W18" s="162" t="s">
        <v>9</v>
      </c>
      <c r="X18" s="162" t="s">
        <v>9</v>
      </c>
      <c r="Y18" s="162" t="s">
        <v>9</v>
      </c>
      <c r="Z18" s="162" t="s">
        <v>9</v>
      </c>
      <c r="AA18" s="162" t="s">
        <v>9</v>
      </c>
      <c r="AB18" s="162" t="s">
        <v>9</v>
      </c>
      <c r="AC18" s="162" t="s">
        <v>9</v>
      </c>
      <c r="AD18" s="162" t="s">
        <v>9</v>
      </c>
      <c r="AE18" s="162" t="s">
        <v>9</v>
      </c>
      <c r="AF18" s="162" t="s">
        <v>9</v>
      </c>
      <c r="AG18" s="162" t="s">
        <v>9</v>
      </c>
      <c r="AH18" s="162" t="s">
        <v>9</v>
      </c>
      <c r="AI18" s="162" t="s">
        <v>9</v>
      </c>
      <c r="AJ18" s="162" t="s">
        <v>9</v>
      </c>
      <c r="AK18" s="162" t="s">
        <v>9</v>
      </c>
      <c r="AL18" s="162" t="s">
        <v>9</v>
      </c>
      <c r="AM18" s="162" t="s">
        <v>9</v>
      </c>
      <c r="AN18" s="162" t="s">
        <v>9</v>
      </c>
      <c r="AO18" s="162" t="s">
        <v>9</v>
      </c>
      <c r="AP18" s="162" t="s">
        <v>9</v>
      </c>
      <c r="AQ18" s="162" t="s">
        <v>9</v>
      </c>
      <c r="AR18" s="162" t="s">
        <v>9</v>
      </c>
      <c r="AS18" s="162" t="s">
        <v>9</v>
      </c>
      <c r="AT18" s="162" t="s">
        <v>9</v>
      </c>
      <c r="AU18" s="162" t="s">
        <v>9</v>
      </c>
      <c r="AV18" s="162" t="s">
        <v>9</v>
      </c>
      <c r="AW18" s="162" t="s">
        <v>9</v>
      </c>
      <c r="AX18" s="162" t="s">
        <v>9</v>
      </c>
      <c r="AY18" s="162" t="s">
        <v>9</v>
      </c>
      <c r="AZ18" s="162" t="s">
        <v>9</v>
      </c>
      <c r="BA18" s="162" t="s">
        <v>9</v>
      </c>
      <c r="BB18" s="162" t="s">
        <v>9</v>
      </c>
      <c r="BC18" s="162" t="s">
        <v>9</v>
      </c>
      <c r="BD18" s="162" t="s">
        <v>9</v>
      </c>
      <c r="BE18" s="162" t="s">
        <v>9</v>
      </c>
      <c r="BF18" s="162" t="s">
        <v>9</v>
      </c>
      <c r="BG18" s="162" t="s">
        <v>9</v>
      </c>
      <c r="BH18" s="162" t="s">
        <v>9</v>
      </c>
      <c r="BI18" s="162" t="s">
        <v>9</v>
      </c>
      <c r="BJ18" s="162" t="s">
        <v>9</v>
      </c>
      <c r="BK18" s="194"/>
    </row>
    <row r="19" spans="1:63">
      <c r="A19" s="145" t="s">
        <v>292</v>
      </c>
      <c r="B19" s="146" t="s">
        <v>607</v>
      </c>
      <c r="C19" s="146" t="str">
        <f>IF(COUNTIF(Measure_62443_2_1[[#This Row],[G 0.13 Interception of Compromising Interference Signals]:[OPS.1.1.3.8 Manipulation of data and tools during patch and change management]],"X")&gt;0,"X","")</f>
        <v/>
      </c>
      <c r="D19" s="162" t="s">
        <v>9</v>
      </c>
      <c r="E19" s="162" t="s">
        <v>9</v>
      </c>
      <c r="F19" s="162" t="s">
        <v>9</v>
      </c>
      <c r="G19" s="162" t="s">
        <v>9</v>
      </c>
      <c r="H19" s="162" t="s">
        <v>9</v>
      </c>
      <c r="I19" s="162" t="s">
        <v>9</v>
      </c>
      <c r="J19" s="162" t="s">
        <v>9</v>
      </c>
      <c r="K19" s="162" t="s">
        <v>9</v>
      </c>
      <c r="L19" s="162" t="s">
        <v>9</v>
      </c>
      <c r="M19" s="162" t="s">
        <v>9</v>
      </c>
      <c r="N19" s="162" t="s">
        <v>9</v>
      </c>
      <c r="O19" s="162" t="s">
        <v>9</v>
      </c>
      <c r="P19" s="162" t="s">
        <v>9</v>
      </c>
      <c r="Q19" s="162" t="s">
        <v>9</v>
      </c>
      <c r="R19" s="162" t="s">
        <v>9</v>
      </c>
      <c r="S19" s="162" t="s">
        <v>9</v>
      </c>
      <c r="T19" s="162" t="s">
        <v>9</v>
      </c>
      <c r="U19" s="162" t="s">
        <v>9</v>
      </c>
      <c r="V19" s="162" t="s">
        <v>9</v>
      </c>
      <c r="W19" s="162" t="s">
        <v>9</v>
      </c>
      <c r="X19" s="162" t="s">
        <v>9</v>
      </c>
      <c r="Y19" s="162" t="s">
        <v>9</v>
      </c>
      <c r="Z19" s="162" t="s">
        <v>9</v>
      </c>
      <c r="AA19" s="162" t="s">
        <v>9</v>
      </c>
      <c r="AB19" s="162" t="s">
        <v>9</v>
      </c>
      <c r="AC19" s="162" t="s">
        <v>9</v>
      </c>
      <c r="AD19" s="162" t="s">
        <v>9</v>
      </c>
      <c r="AE19" s="162" t="s">
        <v>9</v>
      </c>
      <c r="AF19" s="162" t="s">
        <v>9</v>
      </c>
      <c r="AG19" s="162" t="s">
        <v>9</v>
      </c>
      <c r="AH19" s="162" t="s">
        <v>9</v>
      </c>
      <c r="AI19" s="162" t="s">
        <v>9</v>
      </c>
      <c r="AJ19" s="162" t="s">
        <v>9</v>
      </c>
      <c r="AK19" s="162" t="s">
        <v>9</v>
      </c>
      <c r="AL19" s="162" t="s">
        <v>9</v>
      </c>
      <c r="AM19" s="162" t="s">
        <v>9</v>
      </c>
      <c r="AN19" s="162" t="s">
        <v>9</v>
      </c>
      <c r="AO19" s="162" t="s">
        <v>9</v>
      </c>
      <c r="AP19" s="162" t="s">
        <v>9</v>
      </c>
      <c r="AQ19" s="162" t="s">
        <v>9</v>
      </c>
      <c r="AR19" s="162" t="s">
        <v>9</v>
      </c>
      <c r="AS19" s="162" t="s">
        <v>9</v>
      </c>
      <c r="AT19" s="162" t="s">
        <v>9</v>
      </c>
      <c r="AU19" s="162" t="s">
        <v>9</v>
      </c>
      <c r="AV19" s="162" t="s">
        <v>9</v>
      </c>
      <c r="AW19" s="162" t="s">
        <v>9</v>
      </c>
      <c r="AX19" s="162" t="s">
        <v>9</v>
      </c>
      <c r="AY19" s="162" t="s">
        <v>9</v>
      </c>
      <c r="AZ19" s="162" t="s">
        <v>9</v>
      </c>
      <c r="BA19" s="162" t="s">
        <v>9</v>
      </c>
      <c r="BB19" s="162" t="s">
        <v>9</v>
      </c>
      <c r="BC19" s="162" t="s">
        <v>9</v>
      </c>
      <c r="BD19" s="162" t="s">
        <v>9</v>
      </c>
      <c r="BE19" s="162" t="s">
        <v>9</v>
      </c>
      <c r="BF19" s="162" t="s">
        <v>9</v>
      </c>
      <c r="BG19" s="162" t="s">
        <v>9</v>
      </c>
      <c r="BH19" s="162" t="s">
        <v>9</v>
      </c>
      <c r="BI19" s="162" t="s">
        <v>9</v>
      </c>
      <c r="BJ19" s="162" t="s">
        <v>9</v>
      </c>
      <c r="BK19" s="194"/>
    </row>
    <row r="20" spans="1:63">
      <c r="A20" s="145" t="s">
        <v>293</v>
      </c>
      <c r="B20" s="146" t="s">
        <v>607</v>
      </c>
      <c r="C20" s="146" t="str">
        <f>IF(COUNTIF(Measure_62443_2_1[[#This Row],[G 0.13 Interception of Compromising Interference Signals]:[OPS.1.1.3.8 Manipulation of data and tools during patch and change management]],"X")&gt;0,"X","")</f>
        <v/>
      </c>
      <c r="D20" s="162" t="s">
        <v>9</v>
      </c>
      <c r="E20" s="162" t="s">
        <v>9</v>
      </c>
      <c r="F20" s="162" t="s">
        <v>9</v>
      </c>
      <c r="G20" s="162" t="s">
        <v>9</v>
      </c>
      <c r="H20" s="162" t="s">
        <v>9</v>
      </c>
      <c r="I20" s="162" t="s">
        <v>9</v>
      </c>
      <c r="J20" s="162" t="s">
        <v>9</v>
      </c>
      <c r="K20" s="162" t="s">
        <v>9</v>
      </c>
      <c r="L20" s="162" t="s">
        <v>9</v>
      </c>
      <c r="M20" s="162" t="s">
        <v>9</v>
      </c>
      <c r="N20" s="162" t="s">
        <v>9</v>
      </c>
      <c r="O20" s="162" t="s">
        <v>9</v>
      </c>
      <c r="P20" s="162" t="s">
        <v>9</v>
      </c>
      <c r="Q20" s="162" t="s">
        <v>9</v>
      </c>
      <c r="R20" s="162" t="s">
        <v>9</v>
      </c>
      <c r="S20" s="162" t="s">
        <v>9</v>
      </c>
      <c r="T20" s="162" t="s">
        <v>9</v>
      </c>
      <c r="U20" s="162" t="s">
        <v>9</v>
      </c>
      <c r="V20" s="162" t="s">
        <v>9</v>
      </c>
      <c r="W20" s="162" t="s">
        <v>9</v>
      </c>
      <c r="X20" s="162" t="s">
        <v>9</v>
      </c>
      <c r="Y20" s="162" t="s">
        <v>9</v>
      </c>
      <c r="Z20" s="162" t="s">
        <v>9</v>
      </c>
      <c r="AA20" s="162" t="s">
        <v>9</v>
      </c>
      <c r="AB20" s="162" t="s">
        <v>9</v>
      </c>
      <c r="AC20" s="162" t="s">
        <v>9</v>
      </c>
      <c r="AD20" s="162" t="s">
        <v>9</v>
      </c>
      <c r="AE20" s="162" t="s">
        <v>9</v>
      </c>
      <c r="AF20" s="162" t="s">
        <v>9</v>
      </c>
      <c r="AG20" s="162" t="s">
        <v>9</v>
      </c>
      <c r="AH20" s="162" t="s">
        <v>9</v>
      </c>
      <c r="AI20" s="162" t="s">
        <v>9</v>
      </c>
      <c r="AJ20" s="162" t="s">
        <v>9</v>
      </c>
      <c r="AK20" s="162" t="s">
        <v>9</v>
      </c>
      <c r="AL20" s="162" t="s">
        <v>9</v>
      </c>
      <c r="AM20" s="162" t="s">
        <v>9</v>
      </c>
      <c r="AN20" s="162" t="s">
        <v>9</v>
      </c>
      <c r="AO20" s="162" t="s">
        <v>9</v>
      </c>
      <c r="AP20" s="162" t="s">
        <v>9</v>
      </c>
      <c r="AQ20" s="162" t="s">
        <v>9</v>
      </c>
      <c r="AR20" s="162" t="s">
        <v>9</v>
      </c>
      <c r="AS20" s="162" t="s">
        <v>9</v>
      </c>
      <c r="AT20" s="162" t="s">
        <v>9</v>
      </c>
      <c r="AU20" s="162" t="s">
        <v>9</v>
      </c>
      <c r="AV20" s="162" t="s">
        <v>9</v>
      </c>
      <c r="AW20" s="162" t="s">
        <v>9</v>
      </c>
      <c r="AX20" s="162" t="s">
        <v>9</v>
      </c>
      <c r="AY20" s="162" t="s">
        <v>9</v>
      </c>
      <c r="AZ20" s="162" t="s">
        <v>9</v>
      </c>
      <c r="BA20" s="162" t="s">
        <v>9</v>
      </c>
      <c r="BB20" s="162" t="s">
        <v>9</v>
      </c>
      <c r="BC20" s="162" t="s">
        <v>9</v>
      </c>
      <c r="BD20" s="162" t="s">
        <v>9</v>
      </c>
      <c r="BE20" s="162" t="s">
        <v>9</v>
      </c>
      <c r="BF20" s="162" t="s">
        <v>9</v>
      </c>
      <c r="BG20" s="162" t="s">
        <v>9</v>
      </c>
      <c r="BH20" s="162" t="s">
        <v>9</v>
      </c>
      <c r="BI20" s="162" t="s">
        <v>9</v>
      </c>
      <c r="BJ20" s="162" t="s">
        <v>9</v>
      </c>
      <c r="BK20" s="194"/>
    </row>
    <row r="21" spans="1:63">
      <c r="A21" s="145" t="s">
        <v>294</v>
      </c>
      <c r="B21" s="146" t="s">
        <v>607</v>
      </c>
      <c r="C21" s="146" t="str">
        <f>IF(COUNTIF(Measure_62443_2_1[[#This Row],[G 0.13 Interception of Compromising Interference Signals]:[OPS.1.1.3.8 Manipulation of data and tools during patch and change management]],"X")&gt;0,"X","")</f>
        <v/>
      </c>
      <c r="D21" s="162" t="s">
        <v>9</v>
      </c>
      <c r="E21" s="162" t="s">
        <v>9</v>
      </c>
      <c r="F21" s="162" t="s">
        <v>9</v>
      </c>
      <c r="G21" s="162" t="s">
        <v>9</v>
      </c>
      <c r="H21" s="162" t="s">
        <v>9</v>
      </c>
      <c r="I21" s="162" t="s">
        <v>9</v>
      </c>
      <c r="J21" s="162" t="s">
        <v>9</v>
      </c>
      <c r="K21" s="162" t="s">
        <v>9</v>
      </c>
      <c r="L21" s="162" t="s">
        <v>9</v>
      </c>
      <c r="M21" s="162" t="s">
        <v>9</v>
      </c>
      <c r="N21" s="162" t="s">
        <v>9</v>
      </c>
      <c r="O21" s="162" t="s">
        <v>9</v>
      </c>
      <c r="P21" s="162" t="s">
        <v>9</v>
      </c>
      <c r="Q21" s="162" t="s">
        <v>9</v>
      </c>
      <c r="R21" s="162" t="s">
        <v>9</v>
      </c>
      <c r="S21" s="162" t="s">
        <v>9</v>
      </c>
      <c r="T21" s="162" t="s">
        <v>9</v>
      </c>
      <c r="U21" s="162" t="s">
        <v>9</v>
      </c>
      <c r="V21" s="162" t="s">
        <v>9</v>
      </c>
      <c r="W21" s="162" t="s">
        <v>9</v>
      </c>
      <c r="X21" s="162" t="s">
        <v>9</v>
      </c>
      <c r="Y21" s="162" t="s">
        <v>9</v>
      </c>
      <c r="Z21" s="162" t="s">
        <v>9</v>
      </c>
      <c r="AA21" s="162" t="s">
        <v>9</v>
      </c>
      <c r="AB21" s="162" t="s">
        <v>9</v>
      </c>
      <c r="AC21" s="162" t="s">
        <v>9</v>
      </c>
      <c r="AD21" s="162" t="s">
        <v>9</v>
      </c>
      <c r="AE21" s="162" t="s">
        <v>9</v>
      </c>
      <c r="AF21" s="162" t="s">
        <v>9</v>
      </c>
      <c r="AG21" s="162" t="s">
        <v>9</v>
      </c>
      <c r="AH21" s="162" t="s">
        <v>9</v>
      </c>
      <c r="AI21" s="162" t="s">
        <v>9</v>
      </c>
      <c r="AJ21" s="162" t="s">
        <v>9</v>
      </c>
      <c r="AK21" s="162" t="s">
        <v>9</v>
      </c>
      <c r="AL21" s="162" t="s">
        <v>9</v>
      </c>
      <c r="AM21" s="162" t="s">
        <v>9</v>
      </c>
      <c r="AN21" s="162" t="s">
        <v>9</v>
      </c>
      <c r="AO21" s="162" t="s">
        <v>9</v>
      </c>
      <c r="AP21" s="162" t="s">
        <v>9</v>
      </c>
      <c r="AQ21" s="162" t="s">
        <v>9</v>
      </c>
      <c r="AR21" s="162" t="s">
        <v>9</v>
      </c>
      <c r="AS21" s="162" t="s">
        <v>9</v>
      </c>
      <c r="AT21" s="162" t="s">
        <v>9</v>
      </c>
      <c r="AU21" s="162" t="s">
        <v>9</v>
      </c>
      <c r="AV21" s="162" t="s">
        <v>9</v>
      </c>
      <c r="AW21" s="162" t="s">
        <v>9</v>
      </c>
      <c r="AX21" s="162" t="s">
        <v>9</v>
      </c>
      <c r="AY21" s="162" t="s">
        <v>9</v>
      </c>
      <c r="AZ21" s="162" t="s">
        <v>9</v>
      </c>
      <c r="BA21" s="162" t="s">
        <v>9</v>
      </c>
      <c r="BB21" s="162" t="s">
        <v>9</v>
      </c>
      <c r="BC21" s="162" t="s">
        <v>9</v>
      </c>
      <c r="BD21" s="162" t="s">
        <v>9</v>
      </c>
      <c r="BE21" s="162" t="s">
        <v>9</v>
      </c>
      <c r="BF21" s="162" t="s">
        <v>9</v>
      </c>
      <c r="BG21" s="162" t="s">
        <v>9</v>
      </c>
      <c r="BH21" s="162" t="s">
        <v>9</v>
      </c>
      <c r="BI21" s="162" t="s">
        <v>9</v>
      </c>
      <c r="BJ21" s="162" t="s">
        <v>9</v>
      </c>
      <c r="BK21" s="194"/>
    </row>
    <row r="22" spans="1:63">
      <c r="A22" s="145" t="s">
        <v>295</v>
      </c>
      <c r="B22" s="146" t="s">
        <v>607</v>
      </c>
      <c r="C22" s="146" t="str">
        <f>IF(COUNTIF(Measure_62443_2_1[[#This Row],[G 0.13 Interception of Compromising Interference Signals]:[OPS.1.1.3.8 Manipulation of data and tools during patch and change management]],"X")&gt;0,"X","")</f>
        <v/>
      </c>
      <c r="D22" s="162" t="s">
        <v>9</v>
      </c>
      <c r="E22" s="162" t="s">
        <v>9</v>
      </c>
      <c r="F22" s="162" t="s">
        <v>9</v>
      </c>
      <c r="G22" s="162" t="s">
        <v>9</v>
      </c>
      <c r="H22" s="162" t="s">
        <v>9</v>
      </c>
      <c r="I22" s="162" t="s">
        <v>9</v>
      </c>
      <c r="J22" s="162" t="s">
        <v>9</v>
      </c>
      <c r="K22" s="162" t="s">
        <v>9</v>
      </c>
      <c r="L22" s="162" t="s">
        <v>9</v>
      </c>
      <c r="M22" s="162" t="s">
        <v>9</v>
      </c>
      <c r="N22" s="162" t="s">
        <v>9</v>
      </c>
      <c r="O22" s="162" t="s">
        <v>9</v>
      </c>
      <c r="P22" s="162" t="s">
        <v>9</v>
      </c>
      <c r="Q22" s="162" t="s">
        <v>9</v>
      </c>
      <c r="R22" s="162" t="s">
        <v>9</v>
      </c>
      <c r="S22" s="162" t="s">
        <v>9</v>
      </c>
      <c r="T22" s="162" t="s">
        <v>9</v>
      </c>
      <c r="U22" s="162" t="s">
        <v>9</v>
      </c>
      <c r="V22" s="162" t="s">
        <v>9</v>
      </c>
      <c r="W22" s="162" t="s">
        <v>9</v>
      </c>
      <c r="X22" s="162" t="s">
        <v>9</v>
      </c>
      <c r="Y22" s="162" t="s">
        <v>9</v>
      </c>
      <c r="Z22" s="162" t="s">
        <v>9</v>
      </c>
      <c r="AA22" s="162" t="s">
        <v>9</v>
      </c>
      <c r="AB22" s="162" t="s">
        <v>9</v>
      </c>
      <c r="AC22" s="162" t="s">
        <v>9</v>
      </c>
      <c r="AD22" s="162" t="s">
        <v>9</v>
      </c>
      <c r="AE22" s="162" t="s">
        <v>9</v>
      </c>
      <c r="AF22" s="162" t="s">
        <v>9</v>
      </c>
      <c r="AG22" s="162" t="s">
        <v>9</v>
      </c>
      <c r="AH22" s="162" t="s">
        <v>9</v>
      </c>
      <c r="AI22" s="162" t="s">
        <v>9</v>
      </c>
      <c r="AJ22" s="162" t="s">
        <v>9</v>
      </c>
      <c r="AK22" s="162" t="s">
        <v>9</v>
      </c>
      <c r="AL22" s="162" t="s">
        <v>9</v>
      </c>
      <c r="AM22" s="162" t="s">
        <v>9</v>
      </c>
      <c r="AN22" s="162" t="s">
        <v>9</v>
      </c>
      <c r="AO22" s="162" t="s">
        <v>9</v>
      </c>
      <c r="AP22" s="162" t="s">
        <v>9</v>
      </c>
      <c r="AQ22" s="162" t="s">
        <v>9</v>
      </c>
      <c r="AR22" s="162" t="s">
        <v>9</v>
      </c>
      <c r="AS22" s="162" t="s">
        <v>9</v>
      </c>
      <c r="AT22" s="162" t="s">
        <v>9</v>
      </c>
      <c r="AU22" s="162" t="s">
        <v>9</v>
      </c>
      <c r="AV22" s="162" t="s">
        <v>9</v>
      </c>
      <c r="AW22" s="162" t="s">
        <v>9</v>
      </c>
      <c r="AX22" s="162" t="s">
        <v>9</v>
      </c>
      <c r="AY22" s="162" t="s">
        <v>9</v>
      </c>
      <c r="AZ22" s="162" t="s">
        <v>9</v>
      </c>
      <c r="BA22" s="162" t="s">
        <v>9</v>
      </c>
      <c r="BB22" s="162" t="s">
        <v>9</v>
      </c>
      <c r="BC22" s="162" t="s">
        <v>9</v>
      </c>
      <c r="BD22" s="162" t="s">
        <v>9</v>
      </c>
      <c r="BE22" s="162" t="s">
        <v>9</v>
      </c>
      <c r="BF22" s="162" t="s">
        <v>9</v>
      </c>
      <c r="BG22" s="162" t="s">
        <v>9</v>
      </c>
      <c r="BH22" s="162" t="s">
        <v>9</v>
      </c>
      <c r="BI22" s="162" t="s">
        <v>9</v>
      </c>
      <c r="BJ22" s="162" t="s">
        <v>9</v>
      </c>
      <c r="BK22" s="194"/>
    </row>
    <row r="23" spans="1:63">
      <c r="A23" s="145" t="s">
        <v>296</v>
      </c>
      <c r="B23" s="146" t="s">
        <v>607</v>
      </c>
      <c r="C23" s="146" t="str">
        <f>IF(COUNTIF(Measure_62443_2_1[[#This Row],[G 0.13 Interception of Compromising Interference Signals]:[OPS.1.1.3.8 Manipulation of data and tools during patch and change management]],"X")&gt;0,"X","")</f>
        <v/>
      </c>
      <c r="D23" s="162" t="s">
        <v>9</v>
      </c>
      <c r="E23" s="162" t="s">
        <v>9</v>
      </c>
      <c r="F23" s="162" t="s">
        <v>9</v>
      </c>
      <c r="G23" s="162" t="s">
        <v>9</v>
      </c>
      <c r="H23" s="162" t="s">
        <v>9</v>
      </c>
      <c r="I23" s="162" t="s">
        <v>9</v>
      </c>
      <c r="J23" s="162" t="s">
        <v>9</v>
      </c>
      <c r="K23" s="162" t="s">
        <v>9</v>
      </c>
      <c r="L23" s="162" t="s">
        <v>9</v>
      </c>
      <c r="M23" s="162" t="s">
        <v>9</v>
      </c>
      <c r="N23" s="162" t="s">
        <v>9</v>
      </c>
      <c r="O23" s="162" t="s">
        <v>9</v>
      </c>
      <c r="P23" s="162" t="s">
        <v>9</v>
      </c>
      <c r="Q23" s="162" t="s">
        <v>9</v>
      </c>
      <c r="R23" s="162" t="s">
        <v>9</v>
      </c>
      <c r="S23" s="162" t="s">
        <v>9</v>
      </c>
      <c r="T23" s="162" t="s">
        <v>9</v>
      </c>
      <c r="U23" s="162" t="s">
        <v>9</v>
      </c>
      <c r="V23" s="162" t="s">
        <v>9</v>
      </c>
      <c r="W23" s="162" t="s">
        <v>9</v>
      </c>
      <c r="X23" s="162" t="s">
        <v>9</v>
      </c>
      <c r="Y23" s="162" t="s">
        <v>9</v>
      </c>
      <c r="Z23" s="162" t="s">
        <v>9</v>
      </c>
      <c r="AA23" s="162" t="s">
        <v>9</v>
      </c>
      <c r="AB23" s="162" t="s">
        <v>9</v>
      </c>
      <c r="AC23" s="162" t="s">
        <v>9</v>
      </c>
      <c r="AD23" s="162" t="s">
        <v>9</v>
      </c>
      <c r="AE23" s="162" t="s">
        <v>9</v>
      </c>
      <c r="AF23" s="162" t="s">
        <v>9</v>
      </c>
      <c r="AG23" s="162" t="s">
        <v>9</v>
      </c>
      <c r="AH23" s="162" t="s">
        <v>9</v>
      </c>
      <c r="AI23" s="162" t="s">
        <v>9</v>
      </c>
      <c r="AJ23" s="162" t="s">
        <v>9</v>
      </c>
      <c r="AK23" s="162" t="s">
        <v>9</v>
      </c>
      <c r="AL23" s="162" t="s">
        <v>9</v>
      </c>
      <c r="AM23" s="162" t="s">
        <v>9</v>
      </c>
      <c r="AN23" s="162" t="s">
        <v>9</v>
      </c>
      <c r="AO23" s="162" t="s">
        <v>9</v>
      </c>
      <c r="AP23" s="162" t="s">
        <v>9</v>
      </c>
      <c r="AQ23" s="162" t="s">
        <v>9</v>
      </c>
      <c r="AR23" s="162" t="s">
        <v>9</v>
      </c>
      <c r="AS23" s="162" t="s">
        <v>9</v>
      </c>
      <c r="AT23" s="162" t="s">
        <v>9</v>
      </c>
      <c r="AU23" s="162" t="s">
        <v>9</v>
      </c>
      <c r="AV23" s="162" t="s">
        <v>9</v>
      </c>
      <c r="AW23" s="162" t="s">
        <v>9</v>
      </c>
      <c r="AX23" s="162" t="s">
        <v>9</v>
      </c>
      <c r="AY23" s="162" t="s">
        <v>9</v>
      </c>
      <c r="AZ23" s="162" t="s">
        <v>9</v>
      </c>
      <c r="BA23" s="162" t="s">
        <v>9</v>
      </c>
      <c r="BB23" s="162" t="s">
        <v>9</v>
      </c>
      <c r="BC23" s="162" t="s">
        <v>9</v>
      </c>
      <c r="BD23" s="162" t="s">
        <v>9</v>
      </c>
      <c r="BE23" s="162" t="s">
        <v>9</v>
      </c>
      <c r="BF23" s="162" t="s">
        <v>9</v>
      </c>
      <c r="BG23" s="162" t="s">
        <v>9</v>
      </c>
      <c r="BH23" s="162" t="s">
        <v>9</v>
      </c>
      <c r="BI23" s="162" t="s">
        <v>9</v>
      </c>
      <c r="BJ23" s="162" t="s">
        <v>9</v>
      </c>
      <c r="BK23" s="194"/>
    </row>
    <row r="24" spans="1:63">
      <c r="A24" s="145" t="s">
        <v>297</v>
      </c>
      <c r="B24" s="146" t="s">
        <v>607</v>
      </c>
      <c r="C24" s="146" t="str">
        <f>IF(COUNTIF(Measure_62443_2_1[[#This Row],[G 0.13 Interception of Compromising Interference Signals]:[OPS.1.1.3.8 Manipulation of data and tools during patch and change management]],"X")&gt;0,"X","")</f>
        <v/>
      </c>
      <c r="D24" s="162" t="s">
        <v>9</v>
      </c>
      <c r="E24" s="162" t="s">
        <v>9</v>
      </c>
      <c r="F24" s="162" t="s">
        <v>9</v>
      </c>
      <c r="G24" s="162" t="s">
        <v>9</v>
      </c>
      <c r="H24" s="162" t="s">
        <v>9</v>
      </c>
      <c r="I24" s="162" t="s">
        <v>9</v>
      </c>
      <c r="J24" s="162" t="s">
        <v>9</v>
      </c>
      <c r="K24" s="162" t="s">
        <v>9</v>
      </c>
      <c r="L24" s="162" t="s">
        <v>9</v>
      </c>
      <c r="M24" s="162" t="s">
        <v>9</v>
      </c>
      <c r="N24" s="162" t="s">
        <v>9</v>
      </c>
      <c r="O24" s="162" t="s">
        <v>9</v>
      </c>
      <c r="P24" s="162" t="s">
        <v>9</v>
      </c>
      <c r="Q24" s="162" t="s">
        <v>9</v>
      </c>
      <c r="R24" s="162" t="s">
        <v>9</v>
      </c>
      <c r="S24" s="162" t="s">
        <v>9</v>
      </c>
      <c r="T24" s="162" t="s">
        <v>9</v>
      </c>
      <c r="U24" s="162" t="s">
        <v>9</v>
      </c>
      <c r="V24" s="162" t="s">
        <v>9</v>
      </c>
      <c r="W24" s="162" t="s">
        <v>9</v>
      </c>
      <c r="X24" s="162" t="s">
        <v>9</v>
      </c>
      <c r="Y24" s="162" t="s">
        <v>9</v>
      </c>
      <c r="Z24" s="162" t="s">
        <v>9</v>
      </c>
      <c r="AA24" s="162" t="s">
        <v>9</v>
      </c>
      <c r="AB24" s="162" t="s">
        <v>9</v>
      </c>
      <c r="AC24" s="162" t="s">
        <v>9</v>
      </c>
      <c r="AD24" s="162" t="s">
        <v>9</v>
      </c>
      <c r="AE24" s="162" t="s">
        <v>9</v>
      </c>
      <c r="AF24" s="162" t="s">
        <v>9</v>
      </c>
      <c r="AG24" s="162" t="s">
        <v>9</v>
      </c>
      <c r="AH24" s="162" t="s">
        <v>9</v>
      </c>
      <c r="AI24" s="162" t="s">
        <v>9</v>
      </c>
      <c r="AJ24" s="162" t="s">
        <v>9</v>
      </c>
      <c r="AK24" s="162" t="s">
        <v>9</v>
      </c>
      <c r="AL24" s="162" t="s">
        <v>9</v>
      </c>
      <c r="AM24" s="162" t="s">
        <v>9</v>
      </c>
      <c r="AN24" s="162" t="s">
        <v>9</v>
      </c>
      <c r="AO24" s="162" t="s">
        <v>9</v>
      </c>
      <c r="AP24" s="162" t="s">
        <v>9</v>
      </c>
      <c r="AQ24" s="162" t="s">
        <v>9</v>
      </c>
      <c r="AR24" s="162" t="s">
        <v>9</v>
      </c>
      <c r="AS24" s="162" t="s">
        <v>9</v>
      </c>
      <c r="AT24" s="162" t="s">
        <v>9</v>
      </c>
      <c r="AU24" s="162" t="s">
        <v>9</v>
      </c>
      <c r="AV24" s="162" t="s">
        <v>9</v>
      </c>
      <c r="AW24" s="162" t="s">
        <v>9</v>
      </c>
      <c r="AX24" s="162" t="s">
        <v>9</v>
      </c>
      <c r="AY24" s="162" t="s">
        <v>9</v>
      </c>
      <c r="AZ24" s="162" t="s">
        <v>9</v>
      </c>
      <c r="BA24" s="162" t="s">
        <v>9</v>
      </c>
      <c r="BB24" s="162" t="s">
        <v>9</v>
      </c>
      <c r="BC24" s="162" t="s">
        <v>9</v>
      </c>
      <c r="BD24" s="162" t="s">
        <v>9</v>
      </c>
      <c r="BE24" s="162" t="s">
        <v>9</v>
      </c>
      <c r="BF24" s="162" t="s">
        <v>9</v>
      </c>
      <c r="BG24" s="162" t="s">
        <v>9</v>
      </c>
      <c r="BH24" s="162" t="s">
        <v>9</v>
      </c>
      <c r="BI24" s="162" t="s">
        <v>9</v>
      </c>
      <c r="BJ24" s="162" t="s">
        <v>9</v>
      </c>
      <c r="BK24" s="194"/>
    </row>
    <row r="25" spans="1:63">
      <c r="A25" s="145" t="s">
        <v>298</v>
      </c>
      <c r="B25" s="146" t="s">
        <v>607</v>
      </c>
      <c r="C25" s="146" t="str">
        <f>IF(COUNTIF(Measure_62443_2_1[[#This Row],[G 0.13 Interception of Compromising Interference Signals]:[OPS.1.1.3.8 Manipulation of data and tools during patch and change management]],"X")&gt;0,"X","")</f>
        <v/>
      </c>
      <c r="D25" s="162" t="s">
        <v>9</v>
      </c>
      <c r="E25" s="162" t="s">
        <v>9</v>
      </c>
      <c r="F25" s="162" t="s">
        <v>9</v>
      </c>
      <c r="G25" s="162" t="s">
        <v>9</v>
      </c>
      <c r="H25" s="162" t="s">
        <v>9</v>
      </c>
      <c r="I25" s="162" t="s">
        <v>9</v>
      </c>
      <c r="J25" s="162" t="s">
        <v>9</v>
      </c>
      <c r="K25" s="162" t="s">
        <v>9</v>
      </c>
      <c r="L25" s="162" t="s">
        <v>9</v>
      </c>
      <c r="M25" s="162" t="s">
        <v>9</v>
      </c>
      <c r="N25" s="162" t="s">
        <v>9</v>
      </c>
      <c r="O25" s="162" t="s">
        <v>9</v>
      </c>
      <c r="P25" s="162" t="s">
        <v>9</v>
      </c>
      <c r="Q25" s="162" t="s">
        <v>9</v>
      </c>
      <c r="R25" s="162" t="s">
        <v>9</v>
      </c>
      <c r="S25" s="162" t="s">
        <v>9</v>
      </c>
      <c r="T25" s="162" t="s">
        <v>9</v>
      </c>
      <c r="U25" s="162" t="s">
        <v>9</v>
      </c>
      <c r="V25" s="162" t="s">
        <v>9</v>
      </c>
      <c r="W25" s="162" t="s">
        <v>9</v>
      </c>
      <c r="X25" s="162" t="s">
        <v>9</v>
      </c>
      <c r="Y25" s="162" t="s">
        <v>9</v>
      </c>
      <c r="Z25" s="162" t="s">
        <v>9</v>
      </c>
      <c r="AA25" s="162" t="s">
        <v>9</v>
      </c>
      <c r="AB25" s="162" t="s">
        <v>9</v>
      </c>
      <c r="AC25" s="162" t="s">
        <v>9</v>
      </c>
      <c r="AD25" s="162" t="s">
        <v>9</v>
      </c>
      <c r="AE25" s="162" t="s">
        <v>9</v>
      </c>
      <c r="AF25" s="162" t="s">
        <v>9</v>
      </c>
      <c r="AG25" s="162" t="s">
        <v>9</v>
      </c>
      <c r="AH25" s="162" t="s">
        <v>9</v>
      </c>
      <c r="AI25" s="162" t="s">
        <v>9</v>
      </c>
      <c r="AJ25" s="162" t="s">
        <v>9</v>
      </c>
      <c r="AK25" s="162" t="s">
        <v>9</v>
      </c>
      <c r="AL25" s="162" t="s">
        <v>9</v>
      </c>
      <c r="AM25" s="162" t="s">
        <v>9</v>
      </c>
      <c r="AN25" s="162" t="s">
        <v>9</v>
      </c>
      <c r="AO25" s="162" t="s">
        <v>9</v>
      </c>
      <c r="AP25" s="162" t="s">
        <v>9</v>
      </c>
      <c r="AQ25" s="162" t="s">
        <v>9</v>
      </c>
      <c r="AR25" s="162" t="s">
        <v>9</v>
      </c>
      <c r="AS25" s="162" t="s">
        <v>9</v>
      </c>
      <c r="AT25" s="162" t="s">
        <v>9</v>
      </c>
      <c r="AU25" s="162" t="s">
        <v>9</v>
      </c>
      <c r="AV25" s="162" t="s">
        <v>9</v>
      </c>
      <c r="AW25" s="162" t="s">
        <v>9</v>
      </c>
      <c r="AX25" s="162" t="s">
        <v>9</v>
      </c>
      <c r="AY25" s="162" t="s">
        <v>9</v>
      </c>
      <c r="AZ25" s="162" t="s">
        <v>9</v>
      </c>
      <c r="BA25" s="162" t="s">
        <v>9</v>
      </c>
      <c r="BB25" s="162" t="s">
        <v>9</v>
      </c>
      <c r="BC25" s="162" t="s">
        <v>9</v>
      </c>
      <c r="BD25" s="162" t="s">
        <v>9</v>
      </c>
      <c r="BE25" s="162" t="s">
        <v>9</v>
      </c>
      <c r="BF25" s="162" t="s">
        <v>9</v>
      </c>
      <c r="BG25" s="162" t="s">
        <v>9</v>
      </c>
      <c r="BH25" s="162" t="s">
        <v>9</v>
      </c>
      <c r="BI25" s="162" t="s">
        <v>9</v>
      </c>
      <c r="BJ25" s="162" t="s">
        <v>9</v>
      </c>
      <c r="BK25" s="194"/>
    </row>
    <row r="26" spans="1:63">
      <c r="A26" s="145" t="s">
        <v>299</v>
      </c>
      <c r="B26" s="146" t="s">
        <v>607</v>
      </c>
      <c r="C26" s="146" t="str">
        <f>IF(COUNTIF(Measure_62443_2_1[[#This Row],[G 0.13 Interception of Compromising Interference Signals]:[OPS.1.1.3.8 Manipulation of data and tools during patch and change management]],"X")&gt;0,"X","")</f>
        <v/>
      </c>
      <c r="D26" s="162" t="s">
        <v>9</v>
      </c>
      <c r="E26" s="162" t="s">
        <v>9</v>
      </c>
      <c r="F26" s="162" t="s">
        <v>9</v>
      </c>
      <c r="G26" s="162" t="s">
        <v>9</v>
      </c>
      <c r="H26" s="162" t="s">
        <v>9</v>
      </c>
      <c r="I26" s="162" t="s">
        <v>9</v>
      </c>
      <c r="J26" s="162" t="s">
        <v>9</v>
      </c>
      <c r="K26" s="162" t="s">
        <v>9</v>
      </c>
      <c r="L26" s="162" t="s">
        <v>9</v>
      </c>
      <c r="M26" s="162" t="s">
        <v>9</v>
      </c>
      <c r="N26" s="162" t="s">
        <v>9</v>
      </c>
      <c r="O26" s="162" t="s">
        <v>9</v>
      </c>
      <c r="P26" s="162" t="s">
        <v>9</v>
      </c>
      <c r="Q26" s="162" t="s">
        <v>9</v>
      </c>
      <c r="R26" s="162" t="s">
        <v>9</v>
      </c>
      <c r="S26" s="162" t="s">
        <v>9</v>
      </c>
      <c r="T26" s="162" t="s">
        <v>9</v>
      </c>
      <c r="U26" s="162" t="s">
        <v>9</v>
      </c>
      <c r="V26" s="162" t="s">
        <v>9</v>
      </c>
      <c r="W26" s="162" t="s">
        <v>9</v>
      </c>
      <c r="X26" s="162" t="s">
        <v>9</v>
      </c>
      <c r="Y26" s="162" t="s">
        <v>9</v>
      </c>
      <c r="Z26" s="162" t="s">
        <v>9</v>
      </c>
      <c r="AA26" s="162" t="s">
        <v>9</v>
      </c>
      <c r="AB26" s="162" t="s">
        <v>9</v>
      </c>
      <c r="AC26" s="162" t="s">
        <v>9</v>
      </c>
      <c r="AD26" s="162" t="s">
        <v>9</v>
      </c>
      <c r="AE26" s="162" t="s">
        <v>9</v>
      </c>
      <c r="AF26" s="162" t="s">
        <v>9</v>
      </c>
      <c r="AG26" s="162" t="s">
        <v>9</v>
      </c>
      <c r="AH26" s="162" t="s">
        <v>9</v>
      </c>
      <c r="AI26" s="162" t="s">
        <v>9</v>
      </c>
      <c r="AJ26" s="162" t="s">
        <v>9</v>
      </c>
      <c r="AK26" s="162" t="s">
        <v>9</v>
      </c>
      <c r="AL26" s="162" t="s">
        <v>9</v>
      </c>
      <c r="AM26" s="162" t="s">
        <v>9</v>
      </c>
      <c r="AN26" s="162" t="s">
        <v>9</v>
      </c>
      <c r="AO26" s="162" t="s">
        <v>9</v>
      </c>
      <c r="AP26" s="162" t="s">
        <v>9</v>
      </c>
      <c r="AQ26" s="162" t="s">
        <v>9</v>
      </c>
      <c r="AR26" s="162" t="s">
        <v>9</v>
      </c>
      <c r="AS26" s="162" t="s">
        <v>9</v>
      </c>
      <c r="AT26" s="162" t="s">
        <v>9</v>
      </c>
      <c r="AU26" s="162" t="s">
        <v>9</v>
      </c>
      <c r="AV26" s="162" t="s">
        <v>9</v>
      </c>
      <c r="AW26" s="162" t="s">
        <v>9</v>
      </c>
      <c r="AX26" s="162" t="s">
        <v>9</v>
      </c>
      <c r="AY26" s="162" t="s">
        <v>9</v>
      </c>
      <c r="AZ26" s="162" t="s">
        <v>9</v>
      </c>
      <c r="BA26" s="162" t="s">
        <v>9</v>
      </c>
      <c r="BB26" s="162" t="s">
        <v>9</v>
      </c>
      <c r="BC26" s="162" t="s">
        <v>9</v>
      </c>
      <c r="BD26" s="162" t="s">
        <v>9</v>
      </c>
      <c r="BE26" s="162" t="s">
        <v>9</v>
      </c>
      <c r="BF26" s="162" t="s">
        <v>9</v>
      </c>
      <c r="BG26" s="162" t="s">
        <v>9</v>
      </c>
      <c r="BH26" s="162" t="s">
        <v>9</v>
      </c>
      <c r="BI26" s="162" t="s">
        <v>9</v>
      </c>
      <c r="BJ26" s="162" t="s">
        <v>9</v>
      </c>
      <c r="BK26" s="194"/>
    </row>
    <row r="27" spans="1:63">
      <c r="A27" s="145" t="s">
        <v>300</v>
      </c>
      <c r="B27" s="146" t="s">
        <v>607</v>
      </c>
      <c r="C27" s="146" t="str">
        <f>IF(COUNTIF(Measure_62443_2_1[[#This Row],[G 0.13 Interception of Compromising Interference Signals]:[OPS.1.1.3.8 Manipulation of data and tools during patch and change management]],"X")&gt;0,"X","")</f>
        <v/>
      </c>
      <c r="D27" s="162" t="s">
        <v>9</v>
      </c>
      <c r="E27" s="162" t="s">
        <v>9</v>
      </c>
      <c r="F27" s="162" t="s">
        <v>9</v>
      </c>
      <c r="G27" s="162" t="s">
        <v>9</v>
      </c>
      <c r="H27" s="162" t="s">
        <v>9</v>
      </c>
      <c r="I27" s="162" t="s">
        <v>9</v>
      </c>
      <c r="J27" s="162" t="s">
        <v>9</v>
      </c>
      <c r="K27" s="162" t="s">
        <v>9</v>
      </c>
      <c r="L27" s="162" t="s">
        <v>9</v>
      </c>
      <c r="M27" s="162" t="s">
        <v>9</v>
      </c>
      <c r="N27" s="162" t="s">
        <v>9</v>
      </c>
      <c r="O27" s="162" t="s">
        <v>9</v>
      </c>
      <c r="P27" s="162" t="s">
        <v>9</v>
      </c>
      <c r="Q27" s="162" t="s">
        <v>9</v>
      </c>
      <c r="R27" s="162" t="s">
        <v>9</v>
      </c>
      <c r="S27" s="162" t="s">
        <v>9</v>
      </c>
      <c r="T27" s="162" t="s">
        <v>9</v>
      </c>
      <c r="U27" s="162" t="s">
        <v>9</v>
      </c>
      <c r="V27" s="162" t="s">
        <v>9</v>
      </c>
      <c r="W27" s="162" t="s">
        <v>9</v>
      </c>
      <c r="X27" s="162" t="s">
        <v>9</v>
      </c>
      <c r="Y27" s="162" t="s">
        <v>9</v>
      </c>
      <c r="Z27" s="162" t="s">
        <v>9</v>
      </c>
      <c r="AA27" s="162" t="s">
        <v>9</v>
      </c>
      <c r="AB27" s="162" t="s">
        <v>9</v>
      </c>
      <c r="AC27" s="162" t="s">
        <v>9</v>
      </c>
      <c r="AD27" s="162" t="s">
        <v>9</v>
      </c>
      <c r="AE27" s="162" t="s">
        <v>9</v>
      </c>
      <c r="AF27" s="162" t="s">
        <v>9</v>
      </c>
      <c r="AG27" s="162" t="s">
        <v>9</v>
      </c>
      <c r="AH27" s="162" t="s">
        <v>9</v>
      </c>
      <c r="AI27" s="162" t="s">
        <v>9</v>
      </c>
      <c r="AJ27" s="162" t="s">
        <v>9</v>
      </c>
      <c r="AK27" s="162" t="s">
        <v>9</v>
      </c>
      <c r="AL27" s="162" t="s">
        <v>9</v>
      </c>
      <c r="AM27" s="162" t="s">
        <v>9</v>
      </c>
      <c r="AN27" s="162" t="s">
        <v>9</v>
      </c>
      <c r="AO27" s="162" t="s">
        <v>9</v>
      </c>
      <c r="AP27" s="162" t="s">
        <v>9</v>
      </c>
      <c r="AQ27" s="162" t="s">
        <v>9</v>
      </c>
      <c r="AR27" s="162" t="s">
        <v>9</v>
      </c>
      <c r="AS27" s="162" t="s">
        <v>9</v>
      </c>
      <c r="AT27" s="162" t="s">
        <v>9</v>
      </c>
      <c r="AU27" s="162" t="s">
        <v>9</v>
      </c>
      <c r="AV27" s="162" t="s">
        <v>9</v>
      </c>
      <c r="AW27" s="162" t="s">
        <v>9</v>
      </c>
      <c r="AX27" s="162" t="s">
        <v>9</v>
      </c>
      <c r="AY27" s="162" t="s">
        <v>9</v>
      </c>
      <c r="AZ27" s="162" t="s">
        <v>9</v>
      </c>
      <c r="BA27" s="162" t="s">
        <v>9</v>
      </c>
      <c r="BB27" s="162" t="s">
        <v>9</v>
      </c>
      <c r="BC27" s="162" t="s">
        <v>9</v>
      </c>
      <c r="BD27" s="162" t="s">
        <v>9</v>
      </c>
      <c r="BE27" s="162" t="s">
        <v>9</v>
      </c>
      <c r="BF27" s="162" t="s">
        <v>9</v>
      </c>
      <c r="BG27" s="162" t="s">
        <v>9</v>
      </c>
      <c r="BH27" s="162" t="s">
        <v>9</v>
      </c>
      <c r="BI27" s="162" t="s">
        <v>9</v>
      </c>
      <c r="BJ27" s="162" t="s">
        <v>9</v>
      </c>
      <c r="BK27" s="194"/>
    </row>
    <row r="28" spans="1:63">
      <c r="A28" s="145" t="s">
        <v>301</v>
      </c>
      <c r="B28" s="146" t="s">
        <v>607</v>
      </c>
      <c r="C28" s="146" t="str">
        <f>IF(COUNTIF(Measure_62443_2_1[[#This Row],[G 0.13 Interception of Compromising Interference Signals]:[OPS.1.1.3.8 Manipulation of data and tools during patch and change management]],"X")&gt;0,"X","")</f>
        <v/>
      </c>
      <c r="D28" s="162" t="s">
        <v>9</v>
      </c>
      <c r="E28" s="162" t="s">
        <v>9</v>
      </c>
      <c r="F28" s="162" t="s">
        <v>9</v>
      </c>
      <c r="G28" s="162" t="s">
        <v>9</v>
      </c>
      <c r="H28" s="162" t="s">
        <v>9</v>
      </c>
      <c r="I28" s="162" t="s">
        <v>9</v>
      </c>
      <c r="J28" s="162" t="s">
        <v>9</v>
      </c>
      <c r="K28" s="162" t="s">
        <v>9</v>
      </c>
      <c r="L28" s="162" t="s">
        <v>9</v>
      </c>
      <c r="M28" s="162" t="s">
        <v>9</v>
      </c>
      <c r="N28" s="162" t="s">
        <v>9</v>
      </c>
      <c r="O28" s="162" t="s">
        <v>9</v>
      </c>
      <c r="P28" s="162" t="s">
        <v>9</v>
      </c>
      <c r="Q28" s="162" t="s">
        <v>9</v>
      </c>
      <c r="R28" s="162" t="s">
        <v>9</v>
      </c>
      <c r="S28" s="162" t="s">
        <v>9</v>
      </c>
      <c r="T28" s="162" t="s">
        <v>9</v>
      </c>
      <c r="U28" s="162" t="s">
        <v>9</v>
      </c>
      <c r="V28" s="162" t="s">
        <v>9</v>
      </c>
      <c r="W28" s="162" t="s">
        <v>9</v>
      </c>
      <c r="X28" s="162" t="s">
        <v>9</v>
      </c>
      <c r="Y28" s="162" t="s">
        <v>9</v>
      </c>
      <c r="Z28" s="162" t="s">
        <v>9</v>
      </c>
      <c r="AA28" s="162" t="s">
        <v>9</v>
      </c>
      <c r="AB28" s="162" t="s">
        <v>9</v>
      </c>
      <c r="AC28" s="162" t="s">
        <v>9</v>
      </c>
      <c r="AD28" s="162" t="s">
        <v>9</v>
      </c>
      <c r="AE28" s="162" t="s">
        <v>9</v>
      </c>
      <c r="AF28" s="162" t="s">
        <v>9</v>
      </c>
      <c r="AG28" s="162" t="s">
        <v>9</v>
      </c>
      <c r="AH28" s="162" t="s">
        <v>9</v>
      </c>
      <c r="AI28" s="162" t="s">
        <v>9</v>
      </c>
      <c r="AJ28" s="162" t="s">
        <v>9</v>
      </c>
      <c r="AK28" s="162" t="s">
        <v>9</v>
      </c>
      <c r="AL28" s="162" t="s">
        <v>9</v>
      </c>
      <c r="AM28" s="162" t="s">
        <v>9</v>
      </c>
      <c r="AN28" s="162" t="s">
        <v>9</v>
      </c>
      <c r="AO28" s="162" t="s">
        <v>9</v>
      </c>
      <c r="AP28" s="162" t="s">
        <v>9</v>
      </c>
      <c r="AQ28" s="162" t="s">
        <v>9</v>
      </c>
      <c r="AR28" s="162" t="s">
        <v>9</v>
      </c>
      <c r="AS28" s="162" t="s">
        <v>9</v>
      </c>
      <c r="AT28" s="162" t="s">
        <v>9</v>
      </c>
      <c r="AU28" s="162" t="s">
        <v>9</v>
      </c>
      <c r="AV28" s="162" t="s">
        <v>9</v>
      </c>
      <c r="AW28" s="162" t="s">
        <v>9</v>
      </c>
      <c r="AX28" s="162" t="s">
        <v>9</v>
      </c>
      <c r="AY28" s="162" t="s">
        <v>9</v>
      </c>
      <c r="AZ28" s="162" t="s">
        <v>9</v>
      </c>
      <c r="BA28" s="162" t="s">
        <v>9</v>
      </c>
      <c r="BB28" s="162" t="s">
        <v>9</v>
      </c>
      <c r="BC28" s="162" t="s">
        <v>9</v>
      </c>
      <c r="BD28" s="162" t="s">
        <v>9</v>
      </c>
      <c r="BE28" s="162" t="s">
        <v>9</v>
      </c>
      <c r="BF28" s="162" t="s">
        <v>9</v>
      </c>
      <c r="BG28" s="162" t="s">
        <v>9</v>
      </c>
      <c r="BH28" s="162" t="s">
        <v>9</v>
      </c>
      <c r="BI28" s="162" t="s">
        <v>9</v>
      </c>
      <c r="BJ28" s="162" t="s">
        <v>9</v>
      </c>
      <c r="BK28" s="194"/>
    </row>
    <row r="29" spans="1:63">
      <c r="A29" s="145" t="s">
        <v>302</v>
      </c>
      <c r="B29" s="146" t="s">
        <v>607</v>
      </c>
      <c r="C29" s="146" t="str">
        <f>IF(COUNTIF(Measure_62443_2_1[[#This Row],[G 0.13 Interception of Compromising Interference Signals]:[OPS.1.1.3.8 Manipulation of data and tools during patch and change management]],"X")&gt;0,"X","")</f>
        <v/>
      </c>
      <c r="D29" s="162" t="s">
        <v>9</v>
      </c>
      <c r="E29" s="162" t="s">
        <v>9</v>
      </c>
      <c r="F29" s="162" t="s">
        <v>9</v>
      </c>
      <c r="G29" s="162" t="s">
        <v>9</v>
      </c>
      <c r="H29" s="162" t="s">
        <v>9</v>
      </c>
      <c r="I29" s="162" t="s">
        <v>9</v>
      </c>
      <c r="J29" s="162" t="s">
        <v>9</v>
      </c>
      <c r="K29" s="162" t="s">
        <v>9</v>
      </c>
      <c r="L29" s="162" t="s">
        <v>9</v>
      </c>
      <c r="M29" s="162" t="s">
        <v>9</v>
      </c>
      <c r="N29" s="162" t="s">
        <v>9</v>
      </c>
      <c r="O29" s="162" t="s">
        <v>9</v>
      </c>
      <c r="P29" s="162" t="s">
        <v>9</v>
      </c>
      <c r="Q29" s="162" t="s">
        <v>9</v>
      </c>
      <c r="R29" s="162" t="s">
        <v>9</v>
      </c>
      <c r="S29" s="162" t="s">
        <v>9</v>
      </c>
      <c r="T29" s="162" t="s">
        <v>9</v>
      </c>
      <c r="U29" s="162" t="s">
        <v>9</v>
      </c>
      <c r="V29" s="162" t="s">
        <v>9</v>
      </c>
      <c r="W29" s="162" t="s">
        <v>9</v>
      </c>
      <c r="X29" s="162" t="s">
        <v>9</v>
      </c>
      <c r="Y29" s="162" t="s">
        <v>9</v>
      </c>
      <c r="Z29" s="162" t="s">
        <v>9</v>
      </c>
      <c r="AA29" s="162" t="s">
        <v>9</v>
      </c>
      <c r="AB29" s="162" t="s">
        <v>9</v>
      </c>
      <c r="AC29" s="162" t="s">
        <v>9</v>
      </c>
      <c r="AD29" s="162" t="s">
        <v>9</v>
      </c>
      <c r="AE29" s="162" t="s">
        <v>9</v>
      </c>
      <c r="AF29" s="162" t="s">
        <v>9</v>
      </c>
      <c r="AG29" s="162" t="s">
        <v>9</v>
      </c>
      <c r="AH29" s="162" t="s">
        <v>9</v>
      </c>
      <c r="AI29" s="162" t="s">
        <v>9</v>
      </c>
      <c r="AJ29" s="162" t="s">
        <v>9</v>
      </c>
      <c r="AK29" s="162" t="s">
        <v>9</v>
      </c>
      <c r="AL29" s="162" t="s">
        <v>9</v>
      </c>
      <c r="AM29" s="162" t="s">
        <v>9</v>
      </c>
      <c r="AN29" s="162" t="s">
        <v>9</v>
      </c>
      <c r="AO29" s="162" t="s">
        <v>9</v>
      </c>
      <c r="AP29" s="162" t="s">
        <v>9</v>
      </c>
      <c r="AQ29" s="162" t="s">
        <v>9</v>
      </c>
      <c r="AR29" s="162" t="s">
        <v>9</v>
      </c>
      <c r="AS29" s="162" t="s">
        <v>9</v>
      </c>
      <c r="AT29" s="162" t="s">
        <v>9</v>
      </c>
      <c r="AU29" s="162" t="s">
        <v>9</v>
      </c>
      <c r="AV29" s="162" t="s">
        <v>9</v>
      </c>
      <c r="AW29" s="162" t="s">
        <v>9</v>
      </c>
      <c r="AX29" s="162" t="s">
        <v>9</v>
      </c>
      <c r="AY29" s="162" t="s">
        <v>9</v>
      </c>
      <c r="AZ29" s="162" t="s">
        <v>9</v>
      </c>
      <c r="BA29" s="162" t="s">
        <v>9</v>
      </c>
      <c r="BB29" s="162" t="s">
        <v>9</v>
      </c>
      <c r="BC29" s="162" t="s">
        <v>9</v>
      </c>
      <c r="BD29" s="162" t="s">
        <v>9</v>
      </c>
      <c r="BE29" s="162" t="s">
        <v>9</v>
      </c>
      <c r="BF29" s="162" t="s">
        <v>9</v>
      </c>
      <c r="BG29" s="162" t="s">
        <v>9</v>
      </c>
      <c r="BH29" s="162" t="s">
        <v>9</v>
      </c>
      <c r="BI29" s="162" t="s">
        <v>9</v>
      </c>
      <c r="BJ29" s="162" t="s">
        <v>9</v>
      </c>
      <c r="BK29" s="194"/>
    </row>
    <row r="30" spans="1:63">
      <c r="A30" s="145" t="s">
        <v>303</v>
      </c>
      <c r="B30" s="146" t="s">
        <v>607</v>
      </c>
      <c r="C30" s="146" t="str">
        <f>IF(COUNTIF(Measure_62443_2_1[[#This Row],[G 0.13 Interception of Compromising Interference Signals]:[OPS.1.1.3.8 Manipulation of data and tools during patch and change management]],"X")&gt;0,"X","")</f>
        <v/>
      </c>
      <c r="D30" s="162" t="s">
        <v>9</v>
      </c>
      <c r="E30" s="162" t="s">
        <v>9</v>
      </c>
      <c r="F30" s="162" t="s">
        <v>9</v>
      </c>
      <c r="G30" s="162" t="s">
        <v>9</v>
      </c>
      <c r="H30" s="162" t="s">
        <v>9</v>
      </c>
      <c r="I30" s="162" t="s">
        <v>9</v>
      </c>
      <c r="J30" s="162" t="s">
        <v>9</v>
      </c>
      <c r="K30" s="162" t="s">
        <v>9</v>
      </c>
      <c r="L30" s="162" t="s">
        <v>9</v>
      </c>
      <c r="M30" s="162" t="s">
        <v>9</v>
      </c>
      <c r="N30" s="162" t="s">
        <v>9</v>
      </c>
      <c r="O30" s="162" t="s">
        <v>9</v>
      </c>
      <c r="P30" s="162" t="s">
        <v>9</v>
      </c>
      <c r="Q30" s="162" t="s">
        <v>9</v>
      </c>
      <c r="R30" s="162" t="s">
        <v>9</v>
      </c>
      <c r="S30" s="162" t="s">
        <v>9</v>
      </c>
      <c r="T30" s="162" t="s">
        <v>9</v>
      </c>
      <c r="U30" s="162" t="s">
        <v>9</v>
      </c>
      <c r="V30" s="162" t="s">
        <v>9</v>
      </c>
      <c r="W30" s="162" t="s">
        <v>9</v>
      </c>
      <c r="X30" s="162" t="s">
        <v>9</v>
      </c>
      <c r="Y30" s="162" t="s">
        <v>9</v>
      </c>
      <c r="Z30" s="162" t="s">
        <v>9</v>
      </c>
      <c r="AA30" s="162" t="s">
        <v>9</v>
      </c>
      <c r="AB30" s="162" t="s">
        <v>9</v>
      </c>
      <c r="AC30" s="162" t="s">
        <v>9</v>
      </c>
      <c r="AD30" s="162" t="s">
        <v>9</v>
      </c>
      <c r="AE30" s="162" t="s">
        <v>9</v>
      </c>
      <c r="AF30" s="162" t="s">
        <v>9</v>
      </c>
      <c r="AG30" s="162" t="s">
        <v>9</v>
      </c>
      <c r="AH30" s="162" t="s">
        <v>9</v>
      </c>
      <c r="AI30" s="162" t="s">
        <v>9</v>
      </c>
      <c r="AJ30" s="162" t="s">
        <v>9</v>
      </c>
      <c r="AK30" s="162" t="s">
        <v>9</v>
      </c>
      <c r="AL30" s="162" t="s">
        <v>9</v>
      </c>
      <c r="AM30" s="162" t="s">
        <v>9</v>
      </c>
      <c r="AN30" s="162" t="s">
        <v>9</v>
      </c>
      <c r="AO30" s="162" t="s">
        <v>9</v>
      </c>
      <c r="AP30" s="162" t="s">
        <v>9</v>
      </c>
      <c r="AQ30" s="162" t="s">
        <v>9</v>
      </c>
      <c r="AR30" s="162" t="s">
        <v>9</v>
      </c>
      <c r="AS30" s="162" t="s">
        <v>9</v>
      </c>
      <c r="AT30" s="162" t="s">
        <v>9</v>
      </c>
      <c r="AU30" s="162" t="s">
        <v>9</v>
      </c>
      <c r="AV30" s="162" t="s">
        <v>9</v>
      </c>
      <c r="AW30" s="162" t="s">
        <v>9</v>
      </c>
      <c r="AX30" s="162" t="s">
        <v>9</v>
      </c>
      <c r="AY30" s="162" t="s">
        <v>9</v>
      </c>
      <c r="AZ30" s="162" t="s">
        <v>9</v>
      </c>
      <c r="BA30" s="162" t="s">
        <v>9</v>
      </c>
      <c r="BB30" s="162" t="s">
        <v>9</v>
      </c>
      <c r="BC30" s="162" t="s">
        <v>9</v>
      </c>
      <c r="BD30" s="162" t="s">
        <v>9</v>
      </c>
      <c r="BE30" s="162" t="s">
        <v>9</v>
      </c>
      <c r="BF30" s="162" t="s">
        <v>9</v>
      </c>
      <c r="BG30" s="162" t="s">
        <v>9</v>
      </c>
      <c r="BH30" s="162" t="s">
        <v>9</v>
      </c>
      <c r="BI30" s="162" t="s">
        <v>9</v>
      </c>
      <c r="BJ30" s="162" t="s">
        <v>9</v>
      </c>
      <c r="BK30" s="194"/>
    </row>
    <row r="31" spans="1:63">
      <c r="A31" s="145" t="s">
        <v>304</v>
      </c>
      <c r="B31" s="146" t="s">
        <v>607</v>
      </c>
      <c r="C31" s="146" t="str">
        <f>IF(COUNTIF(Measure_62443_2_1[[#This Row],[G 0.13 Interception of Compromising Interference Signals]:[OPS.1.1.3.8 Manipulation of data and tools during patch and change management]],"X")&gt;0,"X","")</f>
        <v/>
      </c>
      <c r="D31" s="162" t="s">
        <v>9</v>
      </c>
      <c r="E31" s="162" t="s">
        <v>9</v>
      </c>
      <c r="F31" s="162" t="s">
        <v>9</v>
      </c>
      <c r="G31" s="162" t="s">
        <v>9</v>
      </c>
      <c r="H31" s="162" t="s">
        <v>9</v>
      </c>
      <c r="I31" s="162" t="s">
        <v>9</v>
      </c>
      <c r="J31" s="162" t="s">
        <v>9</v>
      </c>
      <c r="K31" s="162" t="s">
        <v>9</v>
      </c>
      <c r="L31" s="162" t="s">
        <v>9</v>
      </c>
      <c r="M31" s="162" t="s">
        <v>9</v>
      </c>
      <c r="N31" s="162" t="s">
        <v>9</v>
      </c>
      <c r="O31" s="162" t="s">
        <v>9</v>
      </c>
      <c r="P31" s="162" t="s">
        <v>9</v>
      </c>
      <c r="Q31" s="162" t="s">
        <v>9</v>
      </c>
      <c r="R31" s="162" t="s">
        <v>9</v>
      </c>
      <c r="S31" s="162" t="s">
        <v>9</v>
      </c>
      <c r="T31" s="162" t="s">
        <v>9</v>
      </c>
      <c r="U31" s="162" t="s">
        <v>9</v>
      </c>
      <c r="V31" s="162" t="s">
        <v>9</v>
      </c>
      <c r="W31" s="162" t="s">
        <v>9</v>
      </c>
      <c r="X31" s="162" t="s">
        <v>9</v>
      </c>
      <c r="Y31" s="162" t="s">
        <v>9</v>
      </c>
      <c r="Z31" s="162" t="s">
        <v>9</v>
      </c>
      <c r="AA31" s="162" t="s">
        <v>9</v>
      </c>
      <c r="AB31" s="162" t="s">
        <v>9</v>
      </c>
      <c r="AC31" s="162" t="s">
        <v>9</v>
      </c>
      <c r="AD31" s="162" t="s">
        <v>9</v>
      </c>
      <c r="AE31" s="162" t="s">
        <v>9</v>
      </c>
      <c r="AF31" s="162" t="s">
        <v>9</v>
      </c>
      <c r="AG31" s="162" t="s">
        <v>9</v>
      </c>
      <c r="AH31" s="162" t="s">
        <v>9</v>
      </c>
      <c r="AI31" s="162" t="s">
        <v>9</v>
      </c>
      <c r="AJ31" s="162" t="s">
        <v>9</v>
      </c>
      <c r="AK31" s="162" t="s">
        <v>9</v>
      </c>
      <c r="AL31" s="162" t="s">
        <v>9</v>
      </c>
      <c r="AM31" s="162" t="s">
        <v>9</v>
      </c>
      <c r="AN31" s="162" t="s">
        <v>9</v>
      </c>
      <c r="AO31" s="162" t="s">
        <v>9</v>
      </c>
      <c r="AP31" s="162" t="s">
        <v>9</v>
      </c>
      <c r="AQ31" s="162" t="s">
        <v>9</v>
      </c>
      <c r="AR31" s="162" t="s">
        <v>9</v>
      </c>
      <c r="AS31" s="162" t="s">
        <v>9</v>
      </c>
      <c r="AT31" s="162" t="s">
        <v>9</v>
      </c>
      <c r="AU31" s="162" t="s">
        <v>9</v>
      </c>
      <c r="AV31" s="162" t="s">
        <v>9</v>
      </c>
      <c r="AW31" s="162" t="s">
        <v>9</v>
      </c>
      <c r="AX31" s="162" t="s">
        <v>9</v>
      </c>
      <c r="AY31" s="162" t="s">
        <v>9</v>
      </c>
      <c r="AZ31" s="162" t="s">
        <v>9</v>
      </c>
      <c r="BA31" s="162" t="s">
        <v>9</v>
      </c>
      <c r="BB31" s="162" t="s">
        <v>9</v>
      </c>
      <c r="BC31" s="162" t="s">
        <v>9</v>
      </c>
      <c r="BD31" s="162" t="s">
        <v>9</v>
      </c>
      <c r="BE31" s="162" t="s">
        <v>9</v>
      </c>
      <c r="BF31" s="162" t="s">
        <v>9</v>
      </c>
      <c r="BG31" s="162" t="s">
        <v>9</v>
      </c>
      <c r="BH31" s="162" t="s">
        <v>9</v>
      </c>
      <c r="BI31" s="162" t="s">
        <v>9</v>
      </c>
      <c r="BJ31" s="162" t="s">
        <v>9</v>
      </c>
      <c r="BK31" s="194"/>
    </row>
    <row r="32" spans="1:63">
      <c r="A32" s="145" t="s">
        <v>305</v>
      </c>
      <c r="B32" s="146" t="s">
        <v>607</v>
      </c>
      <c r="C32" s="146" t="str">
        <f>IF(COUNTIF(Measure_62443_2_1[[#This Row],[G 0.13 Interception of Compromising Interference Signals]:[OPS.1.1.3.8 Manipulation of data and tools during patch and change management]],"X")&gt;0,"X","")</f>
        <v/>
      </c>
      <c r="D32" s="162" t="s">
        <v>9</v>
      </c>
      <c r="E32" s="162" t="s">
        <v>9</v>
      </c>
      <c r="F32" s="162" t="s">
        <v>9</v>
      </c>
      <c r="G32" s="162" t="s">
        <v>9</v>
      </c>
      <c r="H32" s="162" t="s">
        <v>9</v>
      </c>
      <c r="I32" s="162" t="s">
        <v>9</v>
      </c>
      <c r="J32" s="162" t="s">
        <v>9</v>
      </c>
      <c r="K32" s="162" t="s">
        <v>9</v>
      </c>
      <c r="L32" s="162" t="s">
        <v>9</v>
      </c>
      <c r="M32" s="162" t="s">
        <v>9</v>
      </c>
      <c r="N32" s="162" t="s">
        <v>9</v>
      </c>
      <c r="O32" s="162" t="s">
        <v>9</v>
      </c>
      <c r="P32" s="162" t="s">
        <v>9</v>
      </c>
      <c r="Q32" s="162" t="s">
        <v>9</v>
      </c>
      <c r="R32" s="162" t="s">
        <v>9</v>
      </c>
      <c r="S32" s="162" t="s">
        <v>9</v>
      </c>
      <c r="T32" s="162" t="s">
        <v>9</v>
      </c>
      <c r="U32" s="162" t="s">
        <v>9</v>
      </c>
      <c r="V32" s="162" t="s">
        <v>9</v>
      </c>
      <c r="W32" s="162" t="s">
        <v>9</v>
      </c>
      <c r="X32" s="162" t="s">
        <v>9</v>
      </c>
      <c r="Y32" s="162" t="s">
        <v>9</v>
      </c>
      <c r="Z32" s="162" t="s">
        <v>9</v>
      </c>
      <c r="AA32" s="162" t="s">
        <v>9</v>
      </c>
      <c r="AB32" s="162" t="s">
        <v>9</v>
      </c>
      <c r="AC32" s="162" t="s">
        <v>9</v>
      </c>
      <c r="AD32" s="162" t="s">
        <v>9</v>
      </c>
      <c r="AE32" s="162" t="s">
        <v>9</v>
      </c>
      <c r="AF32" s="162" t="s">
        <v>9</v>
      </c>
      <c r="AG32" s="162" t="s">
        <v>9</v>
      </c>
      <c r="AH32" s="162" t="s">
        <v>9</v>
      </c>
      <c r="AI32" s="162" t="s">
        <v>9</v>
      </c>
      <c r="AJ32" s="162" t="s">
        <v>9</v>
      </c>
      <c r="AK32" s="162" t="s">
        <v>9</v>
      </c>
      <c r="AL32" s="162" t="s">
        <v>9</v>
      </c>
      <c r="AM32" s="162" t="s">
        <v>9</v>
      </c>
      <c r="AN32" s="162" t="s">
        <v>9</v>
      </c>
      <c r="AO32" s="162" t="s">
        <v>9</v>
      </c>
      <c r="AP32" s="162" t="s">
        <v>9</v>
      </c>
      <c r="AQ32" s="162" t="s">
        <v>9</v>
      </c>
      <c r="AR32" s="162" t="s">
        <v>9</v>
      </c>
      <c r="AS32" s="162" t="s">
        <v>9</v>
      </c>
      <c r="AT32" s="162" t="s">
        <v>9</v>
      </c>
      <c r="AU32" s="162" t="s">
        <v>9</v>
      </c>
      <c r="AV32" s="162" t="s">
        <v>9</v>
      </c>
      <c r="AW32" s="162" t="s">
        <v>9</v>
      </c>
      <c r="AX32" s="162" t="s">
        <v>9</v>
      </c>
      <c r="AY32" s="162" t="s">
        <v>9</v>
      </c>
      <c r="AZ32" s="162" t="s">
        <v>9</v>
      </c>
      <c r="BA32" s="162" t="s">
        <v>9</v>
      </c>
      <c r="BB32" s="162" t="s">
        <v>9</v>
      </c>
      <c r="BC32" s="162" t="s">
        <v>9</v>
      </c>
      <c r="BD32" s="162" t="s">
        <v>9</v>
      </c>
      <c r="BE32" s="162" t="s">
        <v>9</v>
      </c>
      <c r="BF32" s="162" t="s">
        <v>9</v>
      </c>
      <c r="BG32" s="162" t="s">
        <v>9</v>
      </c>
      <c r="BH32" s="162" t="s">
        <v>9</v>
      </c>
      <c r="BI32" s="162" t="s">
        <v>9</v>
      </c>
      <c r="BJ32" s="162" t="s">
        <v>9</v>
      </c>
      <c r="BK32" s="194"/>
    </row>
    <row r="33" spans="1:63">
      <c r="A33" s="145" t="s">
        <v>306</v>
      </c>
      <c r="B33" s="146" t="s">
        <v>607</v>
      </c>
      <c r="C33" s="146" t="str">
        <f>IF(COUNTIF(Measure_62443_2_1[[#This Row],[G 0.13 Interception of Compromising Interference Signals]:[OPS.1.1.3.8 Manipulation of data and tools during patch and change management]],"X")&gt;0,"X","")</f>
        <v/>
      </c>
      <c r="D33" s="162" t="s">
        <v>9</v>
      </c>
      <c r="E33" s="162" t="s">
        <v>9</v>
      </c>
      <c r="F33" s="162" t="s">
        <v>9</v>
      </c>
      <c r="G33" s="162" t="s">
        <v>9</v>
      </c>
      <c r="H33" s="162" t="s">
        <v>9</v>
      </c>
      <c r="I33" s="162" t="s">
        <v>9</v>
      </c>
      <c r="J33" s="162" t="s">
        <v>9</v>
      </c>
      <c r="K33" s="162" t="s">
        <v>9</v>
      </c>
      <c r="L33" s="162" t="s">
        <v>9</v>
      </c>
      <c r="M33" s="162" t="s">
        <v>9</v>
      </c>
      <c r="N33" s="162" t="s">
        <v>9</v>
      </c>
      <c r="O33" s="162" t="s">
        <v>9</v>
      </c>
      <c r="P33" s="162" t="s">
        <v>9</v>
      </c>
      <c r="Q33" s="162" t="s">
        <v>9</v>
      </c>
      <c r="R33" s="162" t="s">
        <v>9</v>
      </c>
      <c r="S33" s="162" t="s">
        <v>9</v>
      </c>
      <c r="T33" s="162" t="s">
        <v>9</v>
      </c>
      <c r="U33" s="162" t="s">
        <v>9</v>
      </c>
      <c r="V33" s="162" t="s">
        <v>9</v>
      </c>
      <c r="W33" s="162" t="s">
        <v>9</v>
      </c>
      <c r="X33" s="162" t="s">
        <v>9</v>
      </c>
      <c r="Y33" s="162" t="s">
        <v>9</v>
      </c>
      <c r="Z33" s="162" t="s">
        <v>9</v>
      </c>
      <c r="AA33" s="162" t="s">
        <v>9</v>
      </c>
      <c r="AB33" s="162" t="s">
        <v>9</v>
      </c>
      <c r="AC33" s="162" t="s">
        <v>9</v>
      </c>
      <c r="AD33" s="162" t="s">
        <v>9</v>
      </c>
      <c r="AE33" s="162" t="s">
        <v>9</v>
      </c>
      <c r="AF33" s="162" t="s">
        <v>9</v>
      </c>
      <c r="AG33" s="162" t="s">
        <v>9</v>
      </c>
      <c r="AH33" s="162" t="s">
        <v>9</v>
      </c>
      <c r="AI33" s="162" t="s">
        <v>9</v>
      </c>
      <c r="AJ33" s="162" t="s">
        <v>9</v>
      </c>
      <c r="AK33" s="162" t="s">
        <v>9</v>
      </c>
      <c r="AL33" s="162" t="s">
        <v>9</v>
      </c>
      <c r="AM33" s="162" t="s">
        <v>9</v>
      </c>
      <c r="AN33" s="162" t="s">
        <v>9</v>
      </c>
      <c r="AO33" s="162" t="s">
        <v>9</v>
      </c>
      <c r="AP33" s="162" t="s">
        <v>9</v>
      </c>
      <c r="AQ33" s="162" t="s">
        <v>9</v>
      </c>
      <c r="AR33" s="162" t="s">
        <v>9</v>
      </c>
      <c r="AS33" s="162" t="s">
        <v>9</v>
      </c>
      <c r="AT33" s="162" t="s">
        <v>9</v>
      </c>
      <c r="AU33" s="162" t="s">
        <v>9</v>
      </c>
      <c r="AV33" s="162" t="s">
        <v>9</v>
      </c>
      <c r="AW33" s="162" t="s">
        <v>9</v>
      </c>
      <c r="AX33" s="162" t="s">
        <v>9</v>
      </c>
      <c r="AY33" s="162" t="s">
        <v>9</v>
      </c>
      <c r="AZ33" s="162" t="s">
        <v>9</v>
      </c>
      <c r="BA33" s="162" t="s">
        <v>9</v>
      </c>
      <c r="BB33" s="162" t="s">
        <v>9</v>
      </c>
      <c r="BC33" s="162" t="s">
        <v>9</v>
      </c>
      <c r="BD33" s="162" t="s">
        <v>9</v>
      </c>
      <c r="BE33" s="162" t="s">
        <v>9</v>
      </c>
      <c r="BF33" s="162" t="s">
        <v>9</v>
      </c>
      <c r="BG33" s="162" t="s">
        <v>9</v>
      </c>
      <c r="BH33" s="162" t="s">
        <v>9</v>
      </c>
      <c r="BI33" s="162" t="s">
        <v>9</v>
      </c>
      <c r="BJ33" s="162" t="s">
        <v>9</v>
      </c>
      <c r="BK33" s="194"/>
    </row>
    <row r="34" spans="1:63">
      <c r="A34" s="145" t="s">
        <v>307</v>
      </c>
      <c r="B34" s="146" t="s">
        <v>607</v>
      </c>
      <c r="C34" s="146" t="str">
        <f>IF(COUNTIF(Measure_62443_2_1[[#This Row],[G 0.13 Interception of Compromising Interference Signals]:[OPS.1.1.3.8 Manipulation of data and tools during patch and change management]],"X")&gt;0,"X","")</f>
        <v/>
      </c>
      <c r="D34" s="162" t="s">
        <v>9</v>
      </c>
      <c r="E34" s="162" t="s">
        <v>9</v>
      </c>
      <c r="F34" s="162" t="s">
        <v>9</v>
      </c>
      <c r="G34" s="162" t="s">
        <v>9</v>
      </c>
      <c r="H34" s="162" t="s">
        <v>9</v>
      </c>
      <c r="I34" s="162" t="s">
        <v>9</v>
      </c>
      <c r="J34" s="162" t="s">
        <v>9</v>
      </c>
      <c r="K34" s="162" t="s">
        <v>9</v>
      </c>
      <c r="L34" s="162" t="s">
        <v>9</v>
      </c>
      <c r="M34" s="162" t="s">
        <v>9</v>
      </c>
      <c r="N34" s="162" t="s">
        <v>9</v>
      </c>
      <c r="O34" s="162" t="s">
        <v>9</v>
      </c>
      <c r="P34" s="162" t="s">
        <v>9</v>
      </c>
      <c r="Q34" s="162" t="s">
        <v>9</v>
      </c>
      <c r="R34" s="162" t="s">
        <v>9</v>
      </c>
      <c r="S34" s="162" t="s">
        <v>9</v>
      </c>
      <c r="T34" s="162" t="s">
        <v>9</v>
      </c>
      <c r="U34" s="162" t="s">
        <v>9</v>
      </c>
      <c r="V34" s="162" t="s">
        <v>9</v>
      </c>
      <c r="W34" s="162" t="s">
        <v>9</v>
      </c>
      <c r="X34" s="162" t="s">
        <v>9</v>
      </c>
      <c r="Y34" s="162" t="s">
        <v>9</v>
      </c>
      <c r="Z34" s="162" t="s">
        <v>9</v>
      </c>
      <c r="AA34" s="162" t="s">
        <v>9</v>
      </c>
      <c r="AB34" s="162" t="s">
        <v>9</v>
      </c>
      <c r="AC34" s="162" t="s">
        <v>9</v>
      </c>
      <c r="AD34" s="162" t="s">
        <v>9</v>
      </c>
      <c r="AE34" s="162" t="s">
        <v>9</v>
      </c>
      <c r="AF34" s="162" t="s">
        <v>9</v>
      </c>
      <c r="AG34" s="162" t="s">
        <v>9</v>
      </c>
      <c r="AH34" s="162" t="s">
        <v>9</v>
      </c>
      <c r="AI34" s="162" t="s">
        <v>9</v>
      </c>
      <c r="AJ34" s="162" t="s">
        <v>9</v>
      </c>
      <c r="AK34" s="162" t="s">
        <v>9</v>
      </c>
      <c r="AL34" s="162" t="s">
        <v>9</v>
      </c>
      <c r="AM34" s="162" t="s">
        <v>9</v>
      </c>
      <c r="AN34" s="162" t="s">
        <v>9</v>
      </c>
      <c r="AO34" s="162" t="s">
        <v>9</v>
      </c>
      <c r="AP34" s="162" t="s">
        <v>9</v>
      </c>
      <c r="AQ34" s="162" t="s">
        <v>9</v>
      </c>
      <c r="AR34" s="162" t="s">
        <v>9</v>
      </c>
      <c r="AS34" s="162" t="s">
        <v>9</v>
      </c>
      <c r="AT34" s="162" t="s">
        <v>9</v>
      </c>
      <c r="AU34" s="162" t="s">
        <v>9</v>
      </c>
      <c r="AV34" s="162" t="s">
        <v>9</v>
      </c>
      <c r="AW34" s="162" t="s">
        <v>9</v>
      </c>
      <c r="AX34" s="162" t="s">
        <v>9</v>
      </c>
      <c r="AY34" s="162" t="s">
        <v>9</v>
      </c>
      <c r="AZ34" s="162" t="s">
        <v>9</v>
      </c>
      <c r="BA34" s="162" t="s">
        <v>9</v>
      </c>
      <c r="BB34" s="162" t="s">
        <v>9</v>
      </c>
      <c r="BC34" s="162" t="s">
        <v>9</v>
      </c>
      <c r="BD34" s="162" t="s">
        <v>9</v>
      </c>
      <c r="BE34" s="162" t="s">
        <v>9</v>
      </c>
      <c r="BF34" s="162" t="s">
        <v>9</v>
      </c>
      <c r="BG34" s="162" t="s">
        <v>9</v>
      </c>
      <c r="BH34" s="162" t="s">
        <v>9</v>
      </c>
      <c r="BI34" s="162" t="s">
        <v>9</v>
      </c>
      <c r="BJ34" s="162" t="s">
        <v>9</v>
      </c>
      <c r="BK34" s="194"/>
    </row>
    <row r="35" spans="1:63">
      <c r="A35" s="145" t="s">
        <v>308</v>
      </c>
      <c r="B35" s="146" t="s">
        <v>607</v>
      </c>
      <c r="C35" s="146" t="str">
        <f>IF(COUNTIF(Measure_62443_2_1[[#This Row],[G 0.13 Interception of Compromising Interference Signals]:[OPS.1.1.3.8 Manipulation of data and tools during patch and change management]],"X")&gt;0,"X","")</f>
        <v>X</v>
      </c>
      <c r="D35" s="162" t="s">
        <v>608</v>
      </c>
      <c r="E35" s="162" t="s">
        <v>9</v>
      </c>
      <c r="F35" s="162" t="s">
        <v>9</v>
      </c>
      <c r="G35" s="162" t="s">
        <v>9</v>
      </c>
      <c r="H35" s="162" t="s">
        <v>9</v>
      </c>
      <c r="I35" s="162" t="s">
        <v>9</v>
      </c>
      <c r="J35" s="162" t="s">
        <v>9</v>
      </c>
      <c r="K35" s="162" t="s">
        <v>9</v>
      </c>
      <c r="L35" s="162" t="s">
        <v>9</v>
      </c>
      <c r="M35" s="162" t="s">
        <v>9</v>
      </c>
      <c r="N35" s="162" t="s">
        <v>9</v>
      </c>
      <c r="O35" s="162" t="s">
        <v>9</v>
      </c>
      <c r="P35" s="162" t="s">
        <v>9</v>
      </c>
      <c r="Q35" s="162" t="s">
        <v>9</v>
      </c>
      <c r="R35" s="162" t="s">
        <v>9</v>
      </c>
      <c r="S35" s="162" t="s">
        <v>9</v>
      </c>
      <c r="T35" s="162" t="s">
        <v>9</v>
      </c>
      <c r="U35" s="162" t="s">
        <v>9</v>
      </c>
      <c r="V35" s="162" t="s">
        <v>9</v>
      </c>
      <c r="W35" s="162" t="s">
        <v>9</v>
      </c>
      <c r="X35" s="162" t="s">
        <v>9</v>
      </c>
      <c r="Y35" s="162" t="s">
        <v>9</v>
      </c>
      <c r="Z35" s="162" t="s">
        <v>9</v>
      </c>
      <c r="AA35" s="162" t="s">
        <v>9</v>
      </c>
      <c r="AB35" s="162" t="s">
        <v>9</v>
      </c>
      <c r="AC35" s="162" t="s">
        <v>9</v>
      </c>
      <c r="AD35" s="162" t="s">
        <v>9</v>
      </c>
      <c r="AE35" s="162" t="s">
        <v>9</v>
      </c>
      <c r="AF35" s="162" t="s">
        <v>9</v>
      </c>
      <c r="AG35" s="162" t="s">
        <v>9</v>
      </c>
      <c r="AH35" s="162" t="s">
        <v>9</v>
      </c>
      <c r="AI35" s="162" t="s">
        <v>9</v>
      </c>
      <c r="AJ35" s="162" t="s">
        <v>9</v>
      </c>
      <c r="AK35" s="162" t="s">
        <v>9</v>
      </c>
      <c r="AL35" s="162" t="s">
        <v>9</v>
      </c>
      <c r="AM35" s="162" t="s">
        <v>9</v>
      </c>
      <c r="AN35" s="162" t="s">
        <v>9</v>
      </c>
      <c r="AO35" s="162" t="s">
        <v>9</v>
      </c>
      <c r="AP35" s="162" t="s">
        <v>9</v>
      </c>
      <c r="AQ35" s="162" t="s">
        <v>9</v>
      </c>
      <c r="AR35" s="162" t="s">
        <v>9</v>
      </c>
      <c r="AS35" s="162" t="s">
        <v>9</v>
      </c>
      <c r="AT35" s="162" t="s">
        <v>9</v>
      </c>
      <c r="AU35" s="162" t="s">
        <v>9</v>
      </c>
      <c r="AV35" s="162" t="s">
        <v>9</v>
      </c>
      <c r="AW35" s="162" t="s">
        <v>9</v>
      </c>
      <c r="AX35" s="162" t="s">
        <v>9</v>
      </c>
      <c r="AY35" s="162" t="s">
        <v>9</v>
      </c>
      <c r="AZ35" s="162" t="s">
        <v>9</v>
      </c>
      <c r="BA35" s="162" t="s">
        <v>9</v>
      </c>
      <c r="BB35" s="162" t="s">
        <v>9</v>
      </c>
      <c r="BC35" s="162" t="s">
        <v>9</v>
      </c>
      <c r="BD35" s="162" t="s">
        <v>9</v>
      </c>
      <c r="BE35" s="162" t="s">
        <v>9</v>
      </c>
      <c r="BF35" s="162" t="s">
        <v>9</v>
      </c>
      <c r="BG35" s="162" t="s">
        <v>9</v>
      </c>
      <c r="BH35" s="162" t="s">
        <v>9</v>
      </c>
      <c r="BI35" s="162" t="s">
        <v>9</v>
      </c>
      <c r="BJ35" s="162" t="s">
        <v>9</v>
      </c>
      <c r="BK35" s="194"/>
    </row>
    <row r="36" spans="1:63">
      <c r="A36" s="145" t="s">
        <v>309</v>
      </c>
      <c r="B36" s="146" t="s">
        <v>607</v>
      </c>
      <c r="C36" s="146" t="str">
        <f>IF(COUNTIF(Measure_62443_2_1[[#This Row],[G 0.13 Interception of Compromising Interference Signals]:[OPS.1.1.3.8 Manipulation of data and tools during patch and change management]],"X")&gt;0,"X","")</f>
        <v/>
      </c>
      <c r="D36" s="162" t="s">
        <v>9</v>
      </c>
      <c r="E36" s="162" t="s">
        <v>9</v>
      </c>
      <c r="F36" s="162" t="s">
        <v>9</v>
      </c>
      <c r="G36" s="162" t="s">
        <v>9</v>
      </c>
      <c r="H36" s="162" t="s">
        <v>9</v>
      </c>
      <c r="I36" s="162" t="s">
        <v>9</v>
      </c>
      <c r="J36" s="162" t="s">
        <v>9</v>
      </c>
      <c r="K36" s="162" t="s">
        <v>9</v>
      </c>
      <c r="L36" s="162" t="s">
        <v>9</v>
      </c>
      <c r="M36" s="162" t="s">
        <v>9</v>
      </c>
      <c r="N36" s="162" t="s">
        <v>9</v>
      </c>
      <c r="O36" s="162" t="s">
        <v>9</v>
      </c>
      <c r="P36" s="162" t="s">
        <v>9</v>
      </c>
      <c r="Q36" s="162" t="s">
        <v>9</v>
      </c>
      <c r="R36" s="162" t="s">
        <v>9</v>
      </c>
      <c r="S36" s="162" t="s">
        <v>9</v>
      </c>
      <c r="T36" s="162" t="s">
        <v>9</v>
      </c>
      <c r="U36" s="162" t="s">
        <v>9</v>
      </c>
      <c r="V36" s="162" t="s">
        <v>9</v>
      </c>
      <c r="W36" s="162" t="s">
        <v>9</v>
      </c>
      <c r="X36" s="162" t="s">
        <v>9</v>
      </c>
      <c r="Y36" s="162" t="s">
        <v>9</v>
      </c>
      <c r="Z36" s="162" t="s">
        <v>9</v>
      </c>
      <c r="AA36" s="162" t="s">
        <v>9</v>
      </c>
      <c r="AB36" s="162" t="s">
        <v>9</v>
      </c>
      <c r="AC36" s="162" t="s">
        <v>9</v>
      </c>
      <c r="AD36" s="162" t="s">
        <v>9</v>
      </c>
      <c r="AE36" s="162" t="s">
        <v>9</v>
      </c>
      <c r="AF36" s="162" t="s">
        <v>9</v>
      </c>
      <c r="AG36" s="162" t="s">
        <v>9</v>
      </c>
      <c r="AH36" s="162" t="s">
        <v>9</v>
      </c>
      <c r="AI36" s="162" t="s">
        <v>9</v>
      </c>
      <c r="AJ36" s="162" t="s">
        <v>9</v>
      </c>
      <c r="AK36" s="162" t="s">
        <v>9</v>
      </c>
      <c r="AL36" s="162" t="s">
        <v>9</v>
      </c>
      <c r="AM36" s="162" t="s">
        <v>9</v>
      </c>
      <c r="AN36" s="162" t="s">
        <v>9</v>
      </c>
      <c r="AO36" s="162" t="s">
        <v>9</v>
      </c>
      <c r="AP36" s="162" t="s">
        <v>9</v>
      </c>
      <c r="AQ36" s="162" t="s">
        <v>9</v>
      </c>
      <c r="AR36" s="162" t="s">
        <v>9</v>
      </c>
      <c r="AS36" s="162" t="s">
        <v>9</v>
      </c>
      <c r="AT36" s="162" t="s">
        <v>9</v>
      </c>
      <c r="AU36" s="162" t="s">
        <v>9</v>
      </c>
      <c r="AV36" s="162" t="s">
        <v>9</v>
      </c>
      <c r="AW36" s="162" t="s">
        <v>9</v>
      </c>
      <c r="AX36" s="162" t="s">
        <v>9</v>
      </c>
      <c r="AY36" s="162" t="s">
        <v>9</v>
      </c>
      <c r="AZ36" s="162" t="s">
        <v>9</v>
      </c>
      <c r="BA36" s="162" t="s">
        <v>9</v>
      </c>
      <c r="BB36" s="162" t="s">
        <v>9</v>
      </c>
      <c r="BC36" s="162" t="s">
        <v>9</v>
      </c>
      <c r="BD36" s="162" t="s">
        <v>9</v>
      </c>
      <c r="BE36" s="162" t="s">
        <v>9</v>
      </c>
      <c r="BF36" s="162" t="s">
        <v>9</v>
      </c>
      <c r="BG36" s="162" t="s">
        <v>9</v>
      </c>
      <c r="BH36" s="162" t="s">
        <v>9</v>
      </c>
      <c r="BI36" s="162" t="s">
        <v>9</v>
      </c>
      <c r="BJ36" s="162" t="s">
        <v>9</v>
      </c>
      <c r="BK36" s="194"/>
    </row>
    <row r="37" spans="1:63">
      <c r="A37" s="145" t="s">
        <v>310</v>
      </c>
      <c r="B37" s="146" t="s">
        <v>607</v>
      </c>
      <c r="C37" s="146" t="str">
        <f>IF(COUNTIF(Measure_62443_2_1[[#This Row],[G 0.13 Interception of Compromising Interference Signals]:[OPS.1.1.3.8 Manipulation of data and tools during patch and change management]],"X")&gt;0,"X","")</f>
        <v/>
      </c>
      <c r="D37" s="162" t="s">
        <v>9</v>
      </c>
      <c r="E37" s="162" t="s">
        <v>9</v>
      </c>
      <c r="F37" s="162" t="s">
        <v>9</v>
      </c>
      <c r="G37" s="162" t="s">
        <v>9</v>
      </c>
      <c r="H37" s="162" t="s">
        <v>9</v>
      </c>
      <c r="I37" s="162" t="s">
        <v>9</v>
      </c>
      <c r="J37" s="162" t="s">
        <v>9</v>
      </c>
      <c r="K37" s="162" t="s">
        <v>9</v>
      </c>
      <c r="L37" s="162" t="s">
        <v>9</v>
      </c>
      <c r="M37" s="162" t="s">
        <v>9</v>
      </c>
      <c r="N37" s="162" t="s">
        <v>9</v>
      </c>
      <c r="O37" s="162" t="s">
        <v>9</v>
      </c>
      <c r="P37" s="162" t="s">
        <v>9</v>
      </c>
      <c r="Q37" s="162" t="s">
        <v>9</v>
      </c>
      <c r="R37" s="162" t="s">
        <v>9</v>
      </c>
      <c r="S37" s="162" t="s">
        <v>9</v>
      </c>
      <c r="T37" s="162" t="s">
        <v>9</v>
      </c>
      <c r="U37" s="162" t="s">
        <v>9</v>
      </c>
      <c r="V37" s="162" t="s">
        <v>9</v>
      </c>
      <c r="W37" s="162" t="s">
        <v>9</v>
      </c>
      <c r="X37" s="162" t="s">
        <v>9</v>
      </c>
      <c r="Y37" s="162" t="s">
        <v>9</v>
      </c>
      <c r="Z37" s="162" t="s">
        <v>9</v>
      </c>
      <c r="AA37" s="162" t="s">
        <v>9</v>
      </c>
      <c r="AB37" s="162" t="s">
        <v>9</v>
      </c>
      <c r="AC37" s="162" t="s">
        <v>9</v>
      </c>
      <c r="AD37" s="162" t="s">
        <v>9</v>
      </c>
      <c r="AE37" s="162" t="s">
        <v>9</v>
      </c>
      <c r="AF37" s="162" t="s">
        <v>9</v>
      </c>
      <c r="AG37" s="162" t="s">
        <v>9</v>
      </c>
      <c r="AH37" s="162" t="s">
        <v>9</v>
      </c>
      <c r="AI37" s="162" t="s">
        <v>9</v>
      </c>
      <c r="AJ37" s="162" t="s">
        <v>9</v>
      </c>
      <c r="AK37" s="162" t="s">
        <v>9</v>
      </c>
      <c r="AL37" s="162" t="s">
        <v>9</v>
      </c>
      <c r="AM37" s="162" t="s">
        <v>9</v>
      </c>
      <c r="AN37" s="162" t="s">
        <v>9</v>
      </c>
      <c r="AO37" s="162" t="s">
        <v>9</v>
      </c>
      <c r="AP37" s="162" t="s">
        <v>9</v>
      </c>
      <c r="AQ37" s="162" t="s">
        <v>9</v>
      </c>
      <c r="AR37" s="162" t="s">
        <v>9</v>
      </c>
      <c r="AS37" s="162" t="s">
        <v>9</v>
      </c>
      <c r="AT37" s="162" t="s">
        <v>9</v>
      </c>
      <c r="AU37" s="162" t="s">
        <v>9</v>
      </c>
      <c r="AV37" s="162" t="s">
        <v>9</v>
      </c>
      <c r="AW37" s="162" t="s">
        <v>9</v>
      </c>
      <c r="AX37" s="162" t="s">
        <v>9</v>
      </c>
      <c r="AY37" s="162" t="s">
        <v>9</v>
      </c>
      <c r="AZ37" s="162" t="s">
        <v>9</v>
      </c>
      <c r="BA37" s="162" t="s">
        <v>9</v>
      </c>
      <c r="BB37" s="162" t="s">
        <v>9</v>
      </c>
      <c r="BC37" s="162" t="s">
        <v>9</v>
      </c>
      <c r="BD37" s="162" t="s">
        <v>9</v>
      </c>
      <c r="BE37" s="162" t="s">
        <v>9</v>
      </c>
      <c r="BF37" s="162" t="s">
        <v>9</v>
      </c>
      <c r="BG37" s="162" t="s">
        <v>9</v>
      </c>
      <c r="BH37" s="162" t="s">
        <v>9</v>
      </c>
      <c r="BI37" s="162" t="s">
        <v>9</v>
      </c>
      <c r="BJ37" s="162" t="s">
        <v>9</v>
      </c>
      <c r="BK37" s="194"/>
    </row>
    <row r="38" spans="1:63">
      <c r="A38" s="145" t="s">
        <v>311</v>
      </c>
      <c r="B38" s="146" t="s">
        <v>607</v>
      </c>
      <c r="C38" s="146" t="str">
        <f>IF(COUNTIF(Measure_62443_2_1[[#This Row],[G 0.13 Interception of Compromising Interference Signals]:[OPS.1.1.3.8 Manipulation of data and tools during patch and change management]],"X")&gt;0,"X","")</f>
        <v/>
      </c>
      <c r="D38" s="162" t="s">
        <v>9</v>
      </c>
      <c r="E38" s="162" t="s">
        <v>9</v>
      </c>
      <c r="F38" s="162" t="s">
        <v>9</v>
      </c>
      <c r="G38" s="162" t="s">
        <v>9</v>
      </c>
      <c r="H38" s="162" t="s">
        <v>9</v>
      </c>
      <c r="I38" s="162" t="s">
        <v>9</v>
      </c>
      <c r="J38" s="162" t="s">
        <v>9</v>
      </c>
      <c r="K38" s="162" t="s">
        <v>9</v>
      </c>
      <c r="L38" s="162" t="s">
        <v>9</v>
      </c>
      <c r="M38" s="162" t="s">
        <v>9</v>
      </c>
      <c r="N38" s="162" t="s">
        <v>9</v>
      </c>
      <c r="O38" s="162" t="s">
        <v>9</v>
      </c>
      <c r="P38" s="162" t="s">
        <v>9</v>
      </c>
      <c r="Q38" s="162" t="s">
        <v>9</v>
      </c>
      <c r="R38" s="162" t="s">
        <v>9</v>
      </c>
      <c r="S38" s="162" t="s">
        <v>9</v>
      </c>
      <c r="T38" s="162" t="s">
        <v>9</v>
      </c>
      <c r="U38" s="162" t="s">
        <v>9</v>
      </c>
      <c r="V38" s="162" t="s">
        <v>9</v>
      </c>
      <c r="W38" s="162" t="s">
        <v>9</v>
      </c>
      <c r="X38" s="162" t="s">
        <v>9</v>
      </c>
      <c r="Y38" s="162" t="s">
        <v>9</v>
      </c>
      <c r="Z38" s="162" t="s">
        <v>9</v>
      </c>
      <c r="AA38" s="162" t="s">
        <v>9</v>
      </c>
      <c r="AB38" s="162" t="s">
        <v>9</v>
      </c>
      <c r="AC38" s="162" t="s">
        <v>9</v>
      </c>
      <c r="AD38" s="162" t="s">
        <v>9</v>
      </c>
      <c r="AE38" s="162" t="s">
        <v>9</v>
      </c>
      <c r="AF38" s="162" t="s">
        <v>9</v>
      </c>
      <c r="AG38" s="162" t="s">
        <v>9</v>
      </c>
      <c r="AH38" s="162" t="s">
        <v>9</v>
      </c>
      <c r="AI38" s="162" t="s">
        <v>9</v>
      </c>
      <c r="AJ38" s="162" t="s">
        <v>9</v>
      </c>
      <c r="AK38" s="162" t="s">
        <v>9</v>
      </c>
      <c r="AL38" s="162" t="s">
        <v>9</v>
      </c>
      <c r="AM38" s="162" t="s">
        <v>9</v>
      </c>
      <c r="AN38" s="162" t="s">
        <v>9</v>
      </c>
      <c r="AO38" s="162" t="s">
        <v>9</v>
      </c>
      <c r="AP38" s="162" t="s">
        <v>9</v>
      </c>
      <c r="AQ38" s="162" t="s">
        <v>9</v>
      </c>
      <c r="AR38" s="162" t="s">
        <v>9</v>
      </c>
      <c r="AS38" s="162" t="s">
        <v>9</v>
      </c>
      <c r="AT38" s="162" t="s">
        <v>9</v>
      </c>
      <c r="AU38" s="162" t="s">
        <v>9</v>
      </c>
      <c r="AV38" s="162" t="s">
        <v>9</v>
      </c>
      <c r="AW38" s="162" t="s">
        <v>9</v>
      </c>
      <c r="AX38" s="162" t="s">
        <v>9</v>
      </c>
      <c r="AY38" s="162" t="s">
        <v>9</v>
      </c>
      <c r="AZ38" s="162" t="s">
        <v>9</v>
      </c>
      <c r="BA38" s="162" t="s">
        <v>9</v>
      </c>
      <c r="BB38" s="162" t="s">
        <v>9</v>
      </c>
      <c r="BC38" s="162" t="s">
        <v>9</v>
      </c>
      <c r="BD38" s="162" t="s">
        <v>9</v>
      </c>
      <c r="BE38" s="162" t="s">
        <v>9</v>
      </c>
      <c r="BF38" s="162" t="s">
        <v>9</v>
      </c>
      <c r="BG38" s="162" t="s">
        <v>9</v>
      </c>
      <c r="BH38" s="162" t="s">
        <v>9</v>
      </c>
      <c r="BI38" s="162" t="s">
        <v>9</v>
      </c>
      <c r="BJ38" s="162" t="s">
        <v>9</v>
      </c>
      <c r="BK38" s="194"/>
    </row>
    <row r="39" spans="1:63">
      <c r="A39" s="145" t="s">
        <v>312</v>
      </c>
      <c r="B39" s="146" t="s">
        <v>607</v>
      </c>
      <c r="C39" s="146" t="str">
        <f>IF(COUNTIF(Measure_62443_2_1[[#This Row],[G 0.13 Interception of Compromising Interference Signals]:[OPS.1.1.3.8 Manipulation of data and tools during patch and change management]],"X")&gt;0,"X","")</f>
        <v/>
      </c>
      <c r="D39" s="162" t="s">
        <v>9</v>
      </c>
      <c r="E39" s="162" t="s">
        <v>9</v>
      </c>
      <c r="F39" s="162" t="s">
        <v>9</v>
      </c>
      <c r="G39" s="162" t="s">
        <v>9</v>
      </c>
      <c r="H39" s="162" t="s">
        <v>9</v>
      </c>
      <c r="I39" s="162" t="s">
        <v>9</v>
      </c>
      <c r="J39" s="162" t="s">
        <v>9</v>
      </c>
      <c r="K39" s="162" t="s">
        <v>9</v>
      </c>
      <c r="L39" s="162" t="s">
        <v>9</v>
      </c>
      <c r="M39" s="162" t="s">
        <v>9</v>
      </c>
      <c r="N39" s="162" t="s">
        <v>9</v>
      </c>
      <c r="O39" s="162" t="s">
        <v>9</v>
      </c>
      <c r="P39" s="162" t="s">
        <v>9</v>
      </c>
      <c r="Q39" s="162" t="s">
        <v>9</v>
      </c>
      <c r="R39" s="162" t="s">
        <v>9</v>
      </c>
      <c r="S39" s="162" t="s">
        <v>9</v>
      </c>
      <c r="T39" s="162" t="s">
        <v>9</v>
      </c>
      <c r="U39" s="162" t="s">
        <v>9</v>
      </c>
      <c r="V39" s="162" t="s">
        <v>9</v>
      </c>
      <c r="W39" s="162" t="s">
        <v>9</v>
      </c>
      <c r="X39" s="162" t="s">
        <v>9</v>
      </c>
      <c r="Y39" s="162" t="s">
        <v>9</v>
      </c>
      <c r="Z39" s="162" t="s">
        <v>9</v>
      </c>
      <c r="AA39" s="162" t="s">
        <v>9</v>
      </c>
      <c r="AB39" s="162" t="s">
        <v>9</v>
      </c>
      <c r="AC39" s="162" t="s">
        <v>9</v>
      </c>
      <c r="AD39" s="162" t="s">
        <v>9</v>
      </c>
      <c r="AE39" s="162" t="s">
        <v>9</v>
      </c>
      <c r="AF39" s="162" t="s">
        <v>9</v>
      </c>
      <c r="AG39" s="162" t="s">
        <v>9</v>
      </c>
      <c r="AH39" s="162" t="s">
        <v>9</v>
      </c>
      <c r="AI39" s="162" t="s">
        <v>9</v>
      </c>
      <c r="AJ39" s="162" t="s">
        <v>9</v>
      </c>
      <c r="AK39" s="162" t="s">
        <v>9</v>
      </c>
      <c r="AL39" s="162" t="s">
        <v>9</v>
      </c>
      <c r="AM39" s="162" t="s">
        <v>9</v>
      </c>
      <c r="AN39" s="162" t="s">
        <v>9</v>
      </c>
      <c r="AO39" s="162" t="s">
        <v>9</v>
      </c>
      <c r="AP39" s="162" t="s">
        <v>9</v>
      </c>
      <c r="AQ39" s="162" t="s">
        <v>9</v>
      </c>
      <c r="AR39" s="162" t="s">
        <v>9</v>
      </c>
      <c r="AS39" s="162" t="s">
        <v>9</v>
      </c>
      <c r="AT39" s="162" t="s">
        <v>9</v>
      </c>
      <c r="AU39" s="162" t="s">
        <v>9</v>
      </c>
      <c r="AV39" s="162" t="s">
        <v>9</v>
      </c>
      <c r="AW39" s="162" t="s">
        <v>9</v>
      </c>
      <c r="AX39" s="162" t="s">
        <v>9</v>
      </c>
      <c r="AY39" s="162" t="s">
        <v>9</v>
      </c>
      <c r="AZ39" s="162" t="s">
        <v>9</v>
      </c>
      <c r="BA39" s="162" t="s">
        <v>9</v>
      </c>
      <c r="BB39" s="162" t="s">
        <v>9</v>
      </c>
      <c r="BC39" s="162" t="s">
        <v>9</v>
      </c>
      <c r="BD39" s="162" t="s">
        <v>9</v>
      </c>
      <c r="BE39" s="162" t="s">
        <v>9</v>
      </c>
      <c r="BF39" s="162" t="s">
        <v>9</v>
      </c>
      <c r="BG39" s="162" t="s">
        <v>9</v>
      </c>
      <c r="BH39" s="162" t="s">
        <v>9</v>
      </c>
      <c r="BI39" s="162" t="s">
        <v>9</v>
      </c>
      <c r="BJ39" s="162" t="s">
        <v>9</v>
      </c>
      <c r="BK39" s="194"/>
    </row>
    <row r="40" spans="1:63">
      <c r="A40" s="145" t="s">
        <v>313</v>
      </c>
      <c r="B40" s="146" t="s">
        <v>607</v>
      </c>
      <c r="C40" s="146" t="str">
        <f>IF(COUNTIF(Measure_62443_2_1[[#This Row],[G 0.13 Interception of Compromising Interference Signals]:[OPS.1.1.3.8 Manipulation of data and tools during patch and change management]],"X")&gt;0,"X","")</f>
        <v/>
      </c>
      <c r="D40" s="162" t="s">
        <v>9</v>
      </c>
      <c r="E40" s="162" t="s">
        <v>9</v>
      </c>
      <c r="F40" s="162" t="s">
        <v>9</v>
      </c>
      <c r="G40" s="162" t="s">
        <v>9</v>
      </c>
      <c r="H40" s="162" t="s">
        <v>9</v>
      </c>
      <c r="I40" s="162" t="s">
        <v>9</v>
      </c>
      <c r="J40" s="162" t="s">
        <v>9</v>
      </c>
      <c r="K40" s="162" t="s">
        <v>9</v>
      </c>
      <c r="L40" s="162" t="s">
        <v>9</v>
      </c>
      <c r="M40" s="162" t="s">
        <v>9</v>
      </c>
      <c r="N40" s="162" t="s">
        <v>9</v>
      </c>
      <c r="O40" s="162" t="s">
        <v>9</v>
      </c>
      <c r="P40" s="162" t="s">
        <v>9</v>
      </c>
      <c r="Q40" s="162" t="s">
        <v>9</v>
      </c>
      <c r="R40" s="162" t="s">
        <v>9</v>
      </c>
      <c r="S40" s="162" t="s">
        <v>9</v>
      </c>
      <c r="T40" s="162" t="s">
        <v>9</v>
      </c>
      <c r="U40" s="162" t="s">
        <v>9</v>
      </c>
      <c r="V40" s="162" t="s">
        <v>9</v>
      </c>
      <c r="W40" s="162" t="s">
        <v>9</v>
      </c>
      <c r="X40" s="162" t="s">
        <v>9</v>
      </c>
      <c r="Y40" s="162" t="s">
        <v>9</v>
      </c>
      <c r="Z40" s="162" t="s">
        <v>9</v>
      </c>
      <c r="AA40" s="162" t="s">
        <v>9</v>
      </c>
      <c r="AB40" s="162" t="s">
        <v>9</v>
      </c>
      <c r="AC40" s="162" t="s">
        <v>9</v>
      </c>
      <c r="AD40" s="162" t="s">
        <v>9</v>
      </c>
      <c r="AE40" s="162" t="s">
        <v>9</v>
      </c>
      <c r="AF40" s="162" t="s">
        <v>9</v>
      </c>
      <c r="AG40" s="162" t="s">
        <v>9</v>
      </c>
      <c r="AH40" s="162" t="s">
        <v>9</v>
      </c>
      <c r="AI40" s="162" t="s">
        <v>9</v>
      </c>
      <c r="AJ40" s="162" t="s">
        <v>9</v>
      </c>
      <c r="AK40" s="162" t="s">
        <v>9</v>
      </c>
      <c r="AL40" s="162" t="s">
        <v>9</v>
      </c>
      <c r="AM40" s="162" t="s">
        <v>9</v>
      </c>
      <c r="AN40" s="162" t="s">
        <v>9</v>
      </c>
      <c r="AO40" s="162" t="s">
        <v>9</v>
      </c>
      <c r="AP40" s="162" t="s">
        <v>9</v>
      </c>
      <c r="AQ40" s="162" t="s">
        <v>9</v>
      </c>
      <c r="AR40" s="162" t="s">
        <v>9</v>
      </c>
      <c r="AS40" s="162" t="s">
        <v>9</v>
      </c>
      <c r="AT40" s="162" t="s">
        <v>9</v>
      </c>
      <c r="AU40" s="162" t="s">
        <v>9</v>
      </c>
      <c r="AV40" s="162" t="s">
        <v>9</v>
      </c>
      <c r="AW40" s="162" t="s">
        <v>9</v>
      </c>
      <c r="AX40" s="162" t="s">
        <v>9</v>
      </c>
      <c r="AY40" s="162" t="s">
        <v>9</v>
      </c>
      <c r="AZ40" s="162" t="s">
        <v>9</v>
      </c>
      <c r="BA40" s="162" t="s">
        <v>9</v>
      </c>
      <c r="BB40" s="162" t="s">
        <v>9</v>
      </c>
      <c r="BC40" s="162" t="s">
        <v>9</v>
      </c>
      <c r="BD40" s="162" t="s">
        <v>9</v>
      </c>
      <c r="BE40" s="162" t="s">
        <v>9</v>
      </c>
      <c r="BF40" s="162" t="s">
        <v>9</v>
      </c>
      <c r="BG40" s="162" t="s">
        <v>9</v>
      </c>
      <c r="BH40" s="162" t="s">
        <v>9</v>
      </c>
      <c r="BI40" s="162" t="s">
        <v>9</v>
      </c>
      <c r="BJ40" s="162" t="s">
        <v>9</v>
      </c>
      <c r="BK40" s="194"/>
    </row>
    <row r="41" spans="1:63">
      <c r="A41" s="145" t="s">
        <v>314</v>
      </c>
      <c r="B41" s="146" t="s">
        <v>607</v>
      </c>
      <c r="C41" s="146" t="str">
        <f>IF(COUNTIF(Measure_62443_2_1[[#This Row],[G 0.13 Interception of Compromising Interference Signals]:[OPS.1.1.3.8 Manipulation of data and tools during patch and change management]],"X")&gt;0,"X","")</f>
        <v/>
      </c>
      <c r="D41" s="162" t="s">
        <v>9</v>
      </c>
      <c r="E41" s="162" t="s">
        <v>9</v>
      </c>
      <c r="F41" s="162" t="s">
        <v>9</v>
      </c>
      <c r="G41" s="162" t="s">
        <v>9</v>
      </c>
      <c r="H41" s="162" t="s">
        <v>9</v>
      </c>
      <c r="I41" s="162" t="s">
        <v>9</v>
      </c>
      <c r="J41" s="162" t="s">
        <v>9</v>
      </c>
      <c r="K41" s="162" t="s">
        <v>9</v>
      </c>
      <c r="L41" s="162" t="s">
        <v>9</v>
      </c>
      <c r="M41" s="162" t="s">
        <v>9</v>
      </c>
      <c r="N41" s="162" t="s">
        <v>9</v>
      </c>
      <c r="O41" s="162" t="s">
        <v>9</v>
      </c>
      <c r="P41" s="162" t="s">
        <v>9</v>
      </c>
      <c r="Q41" s="162" t="s">
        <v>9</v>
      </c>
      <c r="R41" s="162" t="s">
        <v>9</v>
      </c>
      <c r="S41" s="162" t="s">
        <v>9</v>
      </c>
      <c r="T41" s="162" t="s">
        <v>9</v>
      </c>
      <c r="U41" s="162" t="s">
        <v>9</v>
      </c>
      <c r="V41" s="162" t="s">
        <v>9</v>
      </c>
      <c r="W41" s="162" t="s">
        <v>9</v>
      </c>
      <c r="X41" s="162" t="s">
        <v>9</v>
      </c>
      <c r="Y41" s="162" t="s">
        <v>9</v>
      </c>
      <c r="Z41" s="162" t="s">
        <v>9</v>
      </c>
      <c r="AA41" s="162" t="s">
        <v>9</v>
      </c>
      <c r="AB41" s="162" t="s">
        <v>9</v>
      </c>
      <c r="AC41" s="162" t="s">
        <v>9</v>
      </c>
      <c r="AD41" s="162" t="s">
        <v>9</v>
      </c>
      <c r="AE41" s="162" t="s">
        <v>9</v>
      </c>
      <c r="AF41" s="162" t="s">
        <v>9</v>
      </c>
      <c r="AG41" s="162" t="s">
        <v>9</v>
      </c>
      <c r="AH41" s="162" t="s">
        <v>9</v>
      </c>
      <c r="AI41" s="162" t="s">
        <v>9</v>
      </c>
      <c r="AJ41" s="162" t="s">
        <v>9</v>
      </c>
      <c r="AK41" s="162" t="s">
        <v>9</v>
      </c>
      <c r="AL41" s="162" t="s">
        <v>9</v>
      </c>
      <c r="AM41" s="162" t="s">
        <v>9</v>
      </c>
      <c r="AN41" s="162" t="s">
        <v>9</v>
      </c>
      <c r="AO41" s="162" t="s">
        <v>9</v>
      </c>
      <c r="AP41" s="162" t="s">
        <v>9</v>
      </c>
      <c r="AQ41" s="162" t="s">
        <v>9</v>
      </c>
      <c r="AR41" s="162" t="s">
        <v>9</v>
      </c>
      <c r="AS41" s="162" t="s">
        <v>9</v>
      </c>
      <c r="AT41" s="162" t="s">
        <v>9</v>
      </c>
      <c r="AU41" s="162" t="s">
        <v>9</v>
      </c>
      <c r="AV41" s="162" t="s">
        <v>9</v>
      </c>
      <c r="AW41" s="162" t="s">
        <v>9</v>
      </c>
      <c r="AX41" s="162" t="s">
        <v>9</v>
      </c>
      <c r="AY41" s="162" t="s">
        <v>9</v>
      </c>
      <c r="AZ41" s="162" t="s">
        <v>9</v>
      </c>
      <c r="BA41" s="162" t="s">
        <v>9</v>
      </c>
      <c r="BB41" s="162" t="s">
        <v>9</v>
      </c>
      <c r="BC41" s="162" t="s">
        <v>9</v>
      </c>
      <c r="BD41" s="162" t="s">
        <v>9</v>
      </c>
      <c r="BE41" s="162" t="s">
        <v>9</v>
      </c>
      <c r="BF41" s="162" t="s">
        <v>9</v>
      </c>
      <c r="BG41" s="162" t="s">
        <v>9</v>
      </c>
      <c r="BH41" s="162" t="s">
        <v>9</v>
      </c>
      <c r="BI41" s="162" t="s">
        <v>9</v>
      </c>
      <c r="BJ41" s="162" t="s">
        <v>9</v>
      </c>
      <c r="BK41" s="194"/>
    </row>
    <row r="42" spans="1:63">
      <c r="A42" s="145" t="s">
        <v>315</v>
      </c>
      <c r="B42" s="146" t="s">
        <v>607</v>
      </c>
      <c r="C42" s="146" t="str">
        <f>IF(COUNTIF(Measure_62443_2_1[[#This Row],[G 0.13 Interception of Compromising Interference Signals]:[OPS.1.1.3.8 Manipulation of data and tools during patch and change management]],"X")&gt;0,"X","")</f>
        <v/>
      </c>
      <c r="D42" s="162" t="s">
        <v>9</v>
      </c>
      <c r="E42" s="162" t="s">
        <v>9</v>
      </c>
      <c r="F42" s="162" t="s">
        <v>9</v>
      </c>
      <c r="G42" s="162" t="s">
        <v>9</v>
      </c>
      <c r="H42" s="162" t="s">
        <v>9</v>
      </c>
      <c r="I42" s="162" t="s">
        <v>9</v>
      </c>
      <c r="J42" s="162" t="s">
        <v>9</v>
      </c>
      <c r="K42" s="162" t="s">
        <v>9</v>
      </c>
      <c r="L42" s="162" t="s">
        <v>9</v>
      </c>
      <c r="M42" s="162" t="s">
        <v>9</v>
      </c>
      <c r="N42" s="162" t="s">
        <v>9</v>
      </c>
      <c r="O42" s="162" t="s">
        <v>9</v>
      </c>
      <c r="P42" s="162" t="s">
        <v>9</v>
      </c>
      <c r="Q42" s="162" t="s">
        <v>9</v>
      </c>
      <c r="R42" s="162" t="s">
        <v>9</v>
      </c>
      <c r="S42" s="162" t="s">
        <v>9</v>
      </c>
      <c r="T42" s="162" t="s">
        <v>9</v>
      </c>
      <c r="U42" s="162" t="s">
        <v>9</v>
      </c>
      <c r="V42" s="162" t="s">
        <v>9</v>
      </c>
      <c r="W42" s="162" t="s">
        <v>9</v>
      </c>
      <c r="X42" s="162" t="s">
        <v>9</v>
      </c>
      <c r="Y42" s="162" t="s">
        <v>9</v>
      </c>
      <c r="Z42" s="162" t="s">
        <v>9</v>
      </c>
      <c r="AA42" s="162" t="s">
        <v>9</v>
      </c>
      <c r="AB42" s="162" t="s">
        <v>9</v>
      </c>
      <c r="AC42" s="162" t="s">
        <v>9</v>
      </c>
      <c r="AD42" s="162" t="s">
        <v>9</v>
      </c>
      <c r="AE42" s="162" t="s">
        <v>9</v>
      </c>
      <c r="AF42" s="162" t="s">
        <v>9</v>
      </c>
      <c r="AG42" s="162" t="s">
        <v>9</v>
      </c>
      <c r="AH42" s="162" t="s">
        <v>9</v>
      </c>
      <c r="AI42" s="162" t="s">
        <v>9</v>
      </c>
      <c r="AJ42" s="162" t="s">
        <v>9</v>
      </c>
      <c r="AK42" s="162" t="s">
        <v>9</v>
      </c>
      <c r="AL42" s="162" t="s">
        <v>9</v>
      </c>
      <c r="AM42" s="162" t="s">
        <v>9</v>
      </c>
      <c r="AN42" s="162" t="s">
        <v>9</v>
      </c>
      <c r="AO42" s="162" t="s">
        <v>9</v>
      </c>
      <c r="AP42" s="162" t="s">
        <v>9</v>
      </c>
      <c r="AQ42" s="162" t="s">
        <v>9</v>
      </c>
      <c r="AR42" s="162" t="s">
        <v>9</v>
      </c>
      <c r="AS42" s="162" t="s">
        <v>9</v>
      </c>
      <c r="AT42" s="162" t="s">
        <v>9</v>
      </c>
      <c r="AU42" s="162" t="s">
        <v>9</v>
      </c>
      <c r="AV42" s="162" t="s">
        <v>9</v>
      </c>
      <c r="AW42" s="162" t="s">
        <v>9</v>
      </c>
      <c r="AX42" s="162" t="s">
        <v>9</v>
      </c>
      <c r="AY42" s="162" t="s">
        <v>9</v>
      </c>
      <c r="AZ42" s="162" t="s">
        <v>9</v>
      </c>
      <c r="BA42" s="162" t="s">
        <v>9</v>
      </c>
      <c r="BB42" s="162" t="s">
        <v>9</v>
      </c>
      <c r="BC42" s="162" t="s">
        <v>9</v>
      </c>
      <c r="BD42" s="162" t="s">
        <v>9</v>
      </c>
      <c r="BE42" s="162" t="s">
        <v>9</v>
      </c>
      <c r="BF42" s="162" t="s">
        <v>9</v>
      </c>
      <c r="BG42" s="162" t="s">
        <v>9</v>
      </c>
      <c r="BH42" s="162" t="s">
        <v>9</v>
      </c>
      <c r="BI42" s="162" t="s">
        <v>9</v>
      </c>
      <c r="BJ42" s="162" t="s">
        <v>9</v>
      </c>
      <c r="BK42" s="194"/>
    </row>
    <row r="43" spans="1:63">
      <c r="A43" s="145" t="s">
        <v>316</v>
      </c>
      <c r="B43" s="146" t="s">
        <v>607</v>
      </c>
      <c r="C43" s="146" t="str">
        <f>IF(COUNTIF(Measure_62443_2_1[[#This Row],[G 0.13 Interception of Compromising Interference Signals]:[OPS.1.1.3.8 Manipulation of data and tools during patch and change management]],"X")&gt;0,"X","")</f>
        <v/>
      </c>
      <c r="D43" s="162" t="s">
        <v>9</v>
      </c>
      <c r="E43" s="162" t="s">
        <v>9</v>
      </c>
      <c r="F43" s="162" t="s">
        <v>9</v>
      </c>
      <c r="G43" s="162" t="s">
        <v>9</v>
      </c>
      <c r="H43" s="162" t="s">
        <v>9</v>
      </c>
      <c r="I43" s="162" t="s">
        <v>9</v>
      </c>
      <c r="J43" s="162" t="s">
        <v>9</v>
      </c>
      <c r="K43" s="162" t="s">
        <v>9</v>
      </c>
      <c r="L43" s="162" t="s">
        <v>9</v>
      </c>
      <c r="M43" s="162" t="s">
        <v>9</v>
      </c>
      <c r="N43" s="162" t="s">
        <v>9</v>
      </c>
      <c r="O43" s="162" t="s">
        <v>9</v>
      </c>
      <c r="P43" s="162" t="s">
        <v>9</v>
      </c>
      <c r="Q43" s="162" t="s">
        <v>9</v>
      </c>
      <c r="R43" s="162" t="s">
        <v>9</v>
      </c>
      <c r="S43" s="162" t="s">
        <v>9</v>
      </c>
      <c r="T43" s="162" t="s">
        <v>9</v>
      </c>
      <c r="U43" s="162" t="s">
        <v>9</v>
      </c>
      <c r="V43" s="162" t="s">
        <v>9</v>
      </c>
      <c r="W43" s="162" t="s">
        <v>9</v>
      </c>
      <c r="X43" s="162" t="s">
        <v>9</v>
      </c>
      <c r="Y43" s="162" t="s">
        <v>9</v>
      </c>
      <c r="Z43" s="162" t="s">
        <v>9</v>
      </c>
      <c r="AA43" s="162" t="s">
        <v>9</v>
      </c>
      <c r="AB43" s="162" t="s">
        <v>9</v>
      </c>
      <c r="AC43" s="162" t="s">
        <v>9</v>
      </c>
      <c r="AD43" s="162" t="s">
        <v>9</v>
      </c>
      <c r="AE43" s="162" t="s">
        <v>9</v>
      </c>
      <c r="AF43" s="162" t="s">
        <v>9</v>
      </c>
      <c r="AG43" s="162" t="s">
        <v>9</v>
      </c>
      <c r="AH43" s="162" t="s">
        <v>9</v>
      </c>
      <c r="AI43" s="162" t="s">
        <v>9</v>
      </c>
      <c r="AJ43" s="162" t="s">
        <v>9</v>
      </c>
      <c r="AK43" s="162" t="s">
        <v>9</v>
      </c>
      <c r="AL43" s="162" t="s">
        <v>9</v>
      </c>
      <c r="AM43" s="162" t="s">
        <v>9</v>
      </c>
      <c r="AN43" s="162" t="s">
        <v>9</v>
      </c>
      <c r="AO43" s="162" t="s">
        <v>9</v>
      </c>
      <c r="AP43" s="162" t="s">
        <v>9</v>
      </c>
      <c r="AQ43" s="162" t="s">
        <v>9</v>
      </c>
      <c r="AR43" s="162" t="s">
        <v>9</v>
      </c>
      <c r="AS43" s="162" t="s">
        <v>9</v>
      </c>
      <c r="AT43" s="162" t="s">
        <v>9</v>
      </c>
      <c r="AU43" s="162" t="s">
        <v>9</v>
      </c>
      <c r="AV43" s="162" t="s">
        <v>9</v>
      </c>
      <c r="AW43" s="162" t="s">
        <v>9</v>
      </c>
      <c r="AX43" s="162" t="s">
        <v>9</v>
      </c>
      <c r="AY43" s="162" t="s">
        <v>9</v>
      </c>
      <c r="AZ43" s="162" t="s">
        <v>9</v>
      </c>
      <c r="BA43" s="162" t="s">
        <v>9</v>
      </c>
      <c r="BB43" s="162" t="s">
        <v>9</v>
      </c>
      <c r="BC43" s="162" t="s">
        <v>9</v>
      </c>
      <c r="BD43" s="162" t="s">
        <v>9</v>
      </c>
      <c r="BE43" s="162" t="s">
        <v>9</v>
      </c>
      <c r="BF43" s="162" t="s">
        <v>9</v>
      </c>
      <c r="BG43" s="162" t="s">
        <v>9</v>
      </c>
      <c r="BH43" s="162" t="s">
        <v>9</v>
      </c>
      <c r="BI43" s="162" t="s">
        <v>9</v>
      </c>
      <c r="BJ43" s="162" t="s">
        <v>9</v>
      </c>
      <c r="BK43" s="194"/>
    </row>
    <row r="44" spans="1:63">
      <c r="A44" s="145" t="s">
        <v>317</v>
      </c>
      <c r="B44" s="146" t="s">
        <v>607</v>
      </c>
      <c r="C44" s="146" t="str">
        <f>IF(COUNTIF(Measure_62443_2_1[[#This Row],[G 0.13 Interception of Compromising Interference Signals]:[OPS.1.1.3.8 Manipulation of data and tools during patch and change management]],"X")&gt;0,"X","")</f>
        <v/>
      </c>
      <c r="D44" s="162" t="s">
        <v>9</v>
      </c>
      <c r="E44" s="162" t="s">
        <v>9</v>
      </c>
      <c r="F44" s="162" t="s">
        <v>9</v>
      </c>
      <c r="G44" s="162" t="s">
        <v>9</v>
      </c>
      <c r="H44" s="162" t="s">
        <v>9</v>
      </c>
      <c r="I44" s="162" t="s">
        <v>9</v>
      </c>
      <c r="J44" s="162" t="s">
        <v>9</v>
      </c>
      <c r="K44" s="162" t="s">
        <v>9</v>
      </c>
      <c r="L44" s="162" t="s">
        <v>9</v>
      </c>
      <c r="M44" s="162" t="s">
        <v>9</v>
      </c>
      <c r="N44" s="162" t="s">
        <v>9</v>
      </c>
      <c r="O44" s="162" t="s">
        <v>9</v>
      </c>
      <c r="P44" s="162" t="s">
        <v>9</v>
      </c>
      <c r="Q44" s="162" t="s">
        <v>9</v>
      </c>
      <c r="R44" s="162" t="s">
        <v>9</v>
      </c>
      <c r="S44" s="162" t="s">
        <v>9</v>
      </c>
      <c r="T44" s="162" t="s">
        <v>9</v>
      </c>
      <c r="U44" s="162" t="s">
        <v>9</v>
      </c>
      <c r="V44" s="162" t="s">
        <v>9</v>
      </c>
      <c r="W44" s="162" t="s">
        <v>9</v>
      </c>
      <c r="X44" s="162" t="s">
        <v>9</v>
      </c>
      <c r="Y44" s="162" t="s">
        <v>9</v>
      </c>
      <c r="Z44" s="162" t="s">
        <v>9</v>
      </c>
      <c r="AA44" s="162" t="s">
        <v>9</v>
      </c>
      <c r="AB44" s="162" t="s">
        <v>9</v>
      </c>
      <c r="AC44" s="162" t="s">
        <v>9</v>
      </c>
      <c r="AD44" s="162" t="s">
        <v>9</v>
      </c>
      <c r="AE44" s="162" t="s">
        <v>9</v>
      </c>
      <c r="AF44" s="162" t="s">
        <v>9</v>
      </c>
      <c r="AG44" s="162" t="s">
        <v>9</v>
      </c>
      <c r="AH44" s="162" t="s">
        <v>9</v>
      </c>
      <c r="AI44" s="162" t="s">
        <v>9</v>
      </c>
      <c r="AJ44" s="162" t="s">
        <v>9</v>
      </c>
      <c r="AK44" s="162" t="s">
        <v>9</v>
      </c>
      <c r="AL44" s="162" t="s">
        <v>9</v>
      </c>
      <c r="AM44" s="162" t="s">
        <v>9</v>
      </c>
      <c r="AN44" s="162" t="s">
        <v>9</v>
      </c>
      <c r="AO44" s="162" t="s">
        <v>9</v>
      </c>
      <c r="AP44" s="162" t="s">
        <v>9</v>
      </c>
      <c r="AQ44" s="162" t="s">
        <v>9</v>
      </c>
      <c r="AR44" s="162" t="s">
        <v>9</v>
      </c>
      <c r="AS44" s="162" t="s">
        <v>9</v>
      </c>
      <c r="AT44" s="162" t="s">
        <v>9</v>
      </c>
      <c r="AU44" s="162" t="s">
        <v>9</v>
      </c>
      <c r="AV44" s="162" t="s">
        <v>9</v>
      </c>
      <c r="AW44" s="162" t="s">
        <v>9</v>
      </c>
      <c r="AX44" s="162" t="s">
        <v>9</v>
      </c>
      <c r="AY44" s="162" t="s">
        <v>9</v>
      </c>
      <c r="AZ44" s="162" t="s">
        <v>9</v>
      </c>
      <c r="BA44" s="162" t="s">
        <v>9</v>
      </c>
      <c r="BB44" s="162" t="s">
        <v>9</v>
      </c>
      <c r="BC44" s="162" t="s">
        <v>9</v>
      </c>
      <c r="BD44" s="162" t="s">
        <v>9</v>
      </c>
      <c r="BE44" s="162" t="s">
        <v>9</v>
      </c>
      <c r="BF44" s="162" t="s">
        <v>9</v>
      </c>
      <c r="BG44" s="162" t="s">
        <v>9</v>
      </c>
      <c r="BH44" s="162" t="s">
        <v>9</v>
      </c>
      <c r="BI44" s="162" t="s">
        <v>9</v>
      </c>
      <c r="BJ44" s="162" t="s">
        <v>9</v>
      </c>
      <c r="BK44" s="194"/>
    </row>
    <row r="45" spans="1:63">
      <c r="A45" s="145" t="s">
        <v>318</v>
      </c>
      <c r="B45" s="146" t="s">
        <v>607</v>
      </c>
      <c r="C45" s="146" t="str">
        <f>IF(COUNTIF(Measure_62443_2_1[[#This Row],[G 0.13 Interception of Compromising Interference Signals]:[OPS.1.1.3.8 Manipulation of data and tools during patch and change management]],"X")&gt;0,"X","")</f>
        <v/>
      </c>
      <c r="D45" s="162" t="s">
        <v>9</v>
      </c>
      <c r="E45" s="162" t="s">
        <v>9</v>
      </c>
      <c r="F45" s="162" t="s">
        <v>9</v>
      </c>
      <c r="G45" s="162" t="s">
        <v>9</v>
      </c>
      <c r="H45" s="162" t="s">
        <v>9</v>
      </c>
      <c r="I45" s="162" t="s">
        <v>9</v>
      </c>
      <c r="J45" s="162" t="s">
        <v>9</v>
      </c>
      <c r="K45" s="162" t="s">
        <v>9</v>
      </c>
      <c r="L45" s="162" t="s">
        <v>9</v>
      </c>
      <c r="M45" s="162" t="s">
        <v>9</v>
      </c>
      <c r="N45" s="162" t="s">
        <v>9</v>
      </c>
      <c r="O45" s="162" t="s">
        <v>9</v>
      </c>
      <c r="P45" s="162" t="s">
        <v>9</v>
      </c>
      <c r="Q45" s="162" t="s">
        <v>9</v>
      </c>
      <c r="R45" s="162" t="s">
        <v>9</v>
      </c>
      <c r="S45" s="162" t="s">
        <v>9</v>
      </c>
      <c r="T45" s="162" t="s">
        <v>9</v>
      </c>
      <c r="U45" s="162" t="s">
        <v>9</v>
      </c>
      <c r="V45" s="162" t="s">
        <v>9</v>
      </c>
      <c r="W45" s="162" t="s">
        <v>9</v>
      </c>
      <c r="X45" s="162" t="s">
        <v>9</v>
      </c>
      <c r="Y45" s="162" t="s">
        <v>9</v>
      </c>
      <c r="Z45" s="162" t="s">
        <v>9</v>
      </c>
      <c r="AA45" s="162" t="s">
        <v>9</v>
      </c>
      <c r="AB45" s="162" t="s">
        <v>9</v>
      </c>
      <c r="AC45" s="162" t="s">
        <v>9</v>
      </c>
      <c r="AD45" s="162" t="s">
        <v>9</v>
      </c>
      <c r="AE45" s="162" t="s">
        <v>9</v>
      </c>
      <c r="AF45" s="162" t="s">
        <v>9</v>
      </c>
      <c r="AG45" s="162" t="s">
        <v>9</v>
      </c>
      <c r="AH45" s="162" t="s">
        <v>9</v>
      </c>
      <c r="AI45" s="162" t="s">
        <v>9</v>
      </c>
      <c r="AJ45" s="162" t="s">
        <v>9</v>
      </c>
      <c r="AK45" s="162" t="s">
        <v>9</v>
      </c>
      <c r="AL45" s="162" t="s">
        <v>9</v>
      </c>
      <c r="AM45" s="162" t="s">
        <v>9</v>
      </c>
      <c r="AN45" s="162" t="s">
        <v>9</v>
      </c>
      <c r="AO45" s="162" t="s">
        <v>9</v>
      </c>
      <c r="AP45" s="162" t="s">
        <v>9</v>
      </c>
      <c r="AQ45" s="162" t="s">
        <v>9</v>
      </c>
      <c r="AR45" s="162" t="s">
        <v>9</v>
      </c>
      <c r="AS45" s="162" t="s">
        <v>9</v>
      </c>
      <c r="AT45" s="162" t="s">
        <v>9</v>
      </c>
      <c r="AU45" s="162" t="s">
        <v>9</v>
      </c>
      <c r="AV45" s="162" t="s">
        <v>9</v>
      </c>
      <c r="AW45" s="162" t="s">
        <v>9</v>
      </c>
      <c r="AX45" s="162" t="s">
        <v>9</v>
      </c>
      <c r="AY45" s="162" t="s">
        <v>9</v>
      </c>
      <c r="AZ45" s="162" t="s">
        <v>9</v>
      </c>
      <c r="BA45" s="162" t="s">
        <v>9</v>
      </c>
      <c r="BB45" s="162" t="s">
        <v>9</v>
      </c>
      <c r="BC45" s="162" t="s">
        <v>9</v>
      </c>
      <c r="BD45" s="162" t="s">
        <v>9</v>
      </c>
      <c r="BE45" s="162" t="s">
        <v>9</v>
      </c>
      <c r="BF45" s="162" t="s">
        <v>9</v>
      </c>
      <c r="BG45" s="162" t="s">
        <v>9</v>
      </c>
      <c r="BH45" s="162" t="s">
        <v>9</v>
      </c>
      <c r="BI45" s="162" t="s">
        <v>9</v>
      </c>
      <c r="BJ45" s="162" t="s">
        <v>9</v>
      </c>
      <c r="BK45" s="194"/>
    </row>
    <row r="46" spans="1:63">
      <c r="A46" s="145" t="s">
        <v>319</v>
      </c>
      <c r="B46" s="146" t="s">
        <v>607</v>
      </c>
      <c r="C46" s="146" t="str">
        <f>IF(COUNTIF(Measure_62443_2_1[[#This Row],[G 0.13 Interception of Compromising Interference Signals]:[OPS.1.1.3.8 Manipulation of data and tools during patch and change management]],"X")&gt;0,"X","")</f>
        <v/>
      </c>
      <c r="D46" s="162" t="s">
        <v>9</v>
      </c>
      <c r="E46" s="162" t="s">
        <v>9</v>
      </c>
      <c r="F46" s="162" t="s">
        <v>9</v>
      </c>
      <c r="G46" s="162" t="s">
        <v>9</v>
      </c>
      <c r="H46" s="162" t="s">
        <v>9</v>
      </c>
      <c r="I46" s="162" t="s">
        <v>9</v>
      </c>
      <c r="J46" s="162" t="s">
        <v>9</v>
      </c>
      <c r="K46" s="162" t="s">
        <v>9</v>
      </c>
      <c r="L46" s="162" t="s">
        <v>9</v>
      </c>
      <c r="M46" s="162" t="s">
        <v>9</v>
      </c>
      <c r="N46" s="162" t="s">
        <v>9</v>
      </c>
      <c r="O46" s="162" t="s">
        <v>9</v>
      </c>
      <c r="P46" s="162" t="s">
        <v>9</v>
      </c>
      <c r="Q46" s="162" t="s">
        <v>9</v>
      </c>
      <c r="R46" s="162" t="s">
        <v>9</v>
      </c>
      <c r="S46" s="162" t="s">
        <v>9</v>
      </c>
      <c r="T46" s="162" t="s">
        <v>9</v>
      </c>
      <c r="U46" s="162" t="s">
        <v>9</v>
      </c>
      <c r="V46" s="162" t="s">
        <v>9</v>
      </c>
      <c r="W46" s="162" t="s">
        <v>9</v>
      </c>
      <c r="X46" s="162" t="s">
        <v>9</v>
      </c>
      <c r="Y46" s="162" t="s">
        <v>9</v>
      </c>
      <c r="Z46" s="162" t="s">
        <v>9</v>
      </c>
      <c r="AA46" s="162" t="s">
        <v>9</v>
      </c>
      <c r="AB46" s="162" t="s">
        <v>9</v>
      </c>
      <c r="AC46" s="162" t="s">
        <v>9</v>
      </c>
      <c r="AD46" s="162" t="s">
        <v>9</v>
      </c>
      <c r="AE46" s="162" t="s">
        <v>9</v>
      </c>
      <c r="AF46" s="162" t="s">
        <v>9</v>
      </c>
      <c r="AG46" s="162" t="s">
        <v>9</v>
      </c>
      <c r="AH46" s="162" t="s">
        <v>9</v>
      </c>
      <c r="AI46" s="162" t="s">
        <v>9</v>
      </c>
      <c r="AJ46" s="162" t="s">
        <v>9</v>
      </c>
      <c r="AK46" s="162" t="s">
        <v>9</v>
      </c>
      <c r="AL46" s="162" t="s">
        <v>9</v>
      </c>
      <c r="AM46" s="162" t="s">
        <v>9</v>
      </c>
      <c r="AN46" s="162" t="s">
        <v>9</v>
      </c>
      <c r="AO46" s="162" t="s">
        <v>9</v>
      </c>
      <c r="AP46" s="162" t="s">
        <v>9</v>
      </c>
      <c r="AQ46" s="162" t="s">
        <v>9</v>
      </c>
      <c r="AR46" s="162" t="s">
        <v>9</v>
      </c>
      <c r="AS46" s="162" t="s">
        <v>9</v>
      </c>
      <c r="AT46" s="162" t="s">
        <v>9</v>
      </c>
      <c r="AU46" s="162" t="s">
        <v>9</v>
      </c>
      <c r="AV46" s="162" t="s">
        <v>9</v>
      </c>
      <c r="AW46" s="162" t="s">
        <v>9</v>
      </c>
      <c r="AX46" s="162" t="s">
        <v>9</v>
      </c>
      <c r="AY46" s="162" t="s">
        <v>9</v>
      </c>
      <c r="AZ46" s="162" t="s">
        <v>9</v>
      </c>
      <c r="BA46" s="162" t="s">
        <v>9</v>
      </c>
      <c r="BB46" s="162" t="s">
        <v>9</v>
      </c>
      <c r="BC46" s="162" t="s">
        <v>9</v>
      </c>
      <c r="BD46" s="162" t="s">
        <v>9</v>
      </c>
      <c r="BE46" s="162" t="s">
        <v>9</v>
      </c>
      <c r="BF46" s="162" t="s">
        <v>9</v>
      </c>
      <c r="BG46" s="162" t="s">
        <v>9</v>
      </c>
      <c r="BH46" s="162" t="s">
        <v>9</v>
      </c>
      <c r="BI46" s="162" t="s">
        <v>9</v>
      </c>
      <c r="BJ46" s="162" t="s">
        <v>9</v>
      </c>
      <c r="BK46" s="194"/>
    </row>
    <row r="47" spans="1:63">
      <c r="A47" s="145" t="s">
        <v>320</v>
      </c>
      <c r="B47" s="146" t="s">
        <v>607</v>
      </c>
      <c r="C47" s="146" t="str">
        <f>IF(COUNTIF(Measure_62443_2_1[[#This Row],[G 0.13 Interception of Compromising Interference Signals]:[OPS.1.1.3.8 Manipulation of data and tools during patch and change management]],"X")&gt;0,"X","")</f>
        <v/>
      </c>
      <c r="D47" s="162" t="s">
        <v>9</v>
      </c>
      <c r="E47" s="162" t="s">
        <v>9</v>
      </c>
      <c r="F47" s="162" t="s">
        <v>9</v>
      </c>
      <c r="G47" s="162" t="s">
        <v>9</v>
      </c>
      <c r="H47" s="162" t="s">
        <v>9</v>
      </c>
      <c r="I47" s="162" t="s">
        <v>9</v>
      </c>
      <c r="J47" s="162" t="s">
        <v>9</v>
      </c>
      <c r="K47" s="162" t="s">
        <v>9</v>
      </c>
      <c r="L47" s="162" t="s">
        <v>9</v>
      </c>
      <c r="M47" s="162" t="s">
        <v>9</v>
      </c>
      <c r="N47" s="162" t="s">
        <v>9</v>
      </c>
      <c r="O47" s="162" t="s">
        <v>9</v>
      </c>
      <c r="P47" s="162" t="s">
        <v>9</v>
      </c>
      <c r="Q47" s="162" t="s">
        <v>9</v>
      </c>
      <c r="R47" s="162" t="s">
        <v>9</v>
      </c>
      <c r="S47" s="162" t="s">
        <v>9</v>
      </c>
      <c r="T47" s="162" t="s">
        <v>9</v>
      </c>
      <c r="U47" s="162" t="s">
        <v>9</v>
      </c>
      <c r="V47" s="162" t="s">
        <v>9</v>
      </c>
      <c r="W47" s="162" t="s">
        <v>9</v>
      </c>
      <c r="X47" s="162" t="s">
        <v>9</v>
      </c>
      <c r="Y47" s="162" t="s">
        <v>9</v>
      </c>
      <c r="Z47" s="162" t="s">
        <v>9</v>
      </c>
      <c r="AA47" s="162" t="s">
        <v>9</v>
      </c>
      <c r="AB47" s="162" t="s">
        <v>9</v>
      </c>
      <c r="AC47" s="162" t="s">
        <v>9</v>
      </c>
      <c r="AD47" s="162" t="s">
        <v>9</v>
      </c>
      <c r="AE47" s="162" t="s">
        <v>9</v>
      </c>
      <c r="AF47" s="162" t="s">
        <v>9</v>
      </c>
      <c r="AG47" s="162" t="s">
        <v>9</v>
      </c>
      <c r="AH47" s="162" t="s">
        <v>9</v>
      </c>
      <c r="AI47" s="162" t="s">
        <v>9</v>
      </c>
      <c r="AJ47" s="162" t="s">
        <v>9</v>
      </c>
      <c r="AK47" s="162" t="s">
        <v>9</v>
      </c>
      <c r="AL47" s="162" t="s">
        <v>9</v>
      </c>
      <c r="AM47" s="162" t="s">
        <v>9</v>
      </c>
      <c r="AN47" s="162" t="s">
        <v>9</v>
      </c>
      <c r="AO47" s="162" t="s">
        <v>9</v>
      </c>
      <c r="AP47" s="162" t="s">
        <v>9</v>
      </c>
      <c r="AQ47" s="162" t="s">
        <v>9</v>
      </c>
      <c r="AR47" s="162" t="s">
        <v>9</v>
      </c>
      <c r="AS47" s="162" t="s">
        <v>9</v>
      </c>
      <c r="AT47" s="162" t="s">
        <v>9</v>
      </c>
      <c r="AU47" s="162" t="s">
        <v>9</v>
      </c>
      <c r="AV47" s="162" t="s">
        <v>9</v>
      </c>
      <c r="AW47" s="162" t="s">
        <v>9</v>
      </c>
      <c r="AX47" s="162" t="s">
        <v>9</v>
      </c>
      <c r="AY47" s="162" t="s">
        <v>9</v>
      </c>
      <c r="AZ47" s="162" t="s">
        <v>9</v>
      </c>
      <c r="BA47" s="162" t="s">
        <v>9</v>
      </c>
      <c r="BB47" s="162" t="s">
        <v>9</v>
      </c>
      <c r="BC47" s="162" t="s">
        <v>9</v>
      </c>
      <c r="BD47" s="162" t="s">
        <v>9</v>
      </c>
      <c r="BE47" s="162" t="s">
        <v>9</v>
      </c>
      <c r="BF47" s="162" t="s">
        <v>9</v>
      </c>
      <c r="BG47" s="162" t="s">
        <v>9</v>
      </c>
      <c r="BH47" s="162" t="s">
        <v>9</v>
      </c>
      <c r="BI47" s="162" t="s">
        <v>9</v>
      </c>
      <c r="BJ47" s="162" t="s">
        <v>9</v>
      </c>
      <c r="BK47" s="194"/>
    </row>
    <row r="48" spans="1:63">
      <c r="A48" s="145" t="s">
        <v>321</v>
      </c>
      <c r="B48" s="146" t="s">
        <v>607</v>
      </c>
      <c r="C48" s="146" t="str">
        <f>IF(COUNTIF(Measure_62443_2_1[[#This Row],[G 0.13 Interception of Compromising Interference Signals]:[OPS.1.1.3.8 Manipulation of data and tools during patch and change management]],"X")&gt;0,"X","")</f>
        <v/>
      </c>
      <c r="D48" s="162" t="s">
        <v>9</v>
      </c>
      <c r="E48" s="162" t="s">
        <v>9</v>
      </c>
      <c r="F48" s="162" t="s">
        <v>9</v>
      </c>
      <c r="G48" s="162" t="s">
        <v>9</v>
      </c>
      <c r="H48" s="162" t="s">
        <v>9</v>
      </c>
      <c r="I48" s="162" t="s">
        <v>9</v>
      </c>
      <c r="J48" s="162" t="s">
        <v>9</v>
      </c>
      <c r="K48" s="162" t="s">
        <v>9</v>
      </c>
      <c r="L48" s="162" t="s">
        <v>9</v>
      </c>
      <c r="M48" s="162" t="s">
        <v>9</v>
      </c>
      <c r="N48" s="162" t="s">
        <v>9</v>
      </c>
      <c r="O48" s="162" t="s">
        <v>9</v>
      </c>
      <c r="P48" s="162" t="s">
        <v>9</v>
      </c>
      <c r="Q48" s="162" t="s">
        <v>9</v>
      </c>
      <c r="R48" s="162" t="s">
        <v>9</v>
      </c>
      <c r="S48" s="162" t="s">
        <v>9</v>
      </c>
      <c r="T48" s="162" t="s">
        <v>9</v>
      </c>
      <c r="U48" s="162" t="s">
        <v>9</v>
      </c>
      <c r="V48" s="162" t="s">
        <v>9</v>
      </c>
      <c r="W48" s="162" t="s">
        <v>9</v>
      </c>
      <c r="X48" s="162" t="s">
        <v>9</v>
      </c>
      <c r="Y48" s="162" t="s">
        <v>9</v>
      </c>
      <c r="Z48" s="162" t="s">
        <v>9</v>
      </c>
      <c r="AA48" s="162" t="s">
        <v>9</v>
      </c>
      <c r="AB48" s="162" t="s">
        <v>9</v>
      </c>
      <c r="AC48" s="162" t="s">
        <v>9</v>
      </c>
      <c r="AD48" s="162" t="s">
        <v>9</v>
      </c>
      <c r="AE48" s="162" t="s">
        <v>9</v>
      </c>
      <c r="AF48" s="162" t="s">
        <v>9</v>
      </c>
      <c r="AG48" s="162" t="s">
        <v>9</v>
      </c>
      <c r="AH48" s="162" t="s">
        <v>9</v>
      </c>
      <c r="AI48" s="162" t="s">
        <v>9</v>
      </c>
      <c r="AJ48" s="162" t="s">
        <v>9</v>
      </c>
      <c r="AK48" s="162" t="s">
        <v>9</v>
      </c>
      <c r="AL48" s="162" t="s">
        <v>9</v>
      </c>
      <c r="AM48" s="162" t="s">
        <v>9</v>
      </c>
      <c r="AN48" s="162" t="s">
        <v>9</v>
      </c>
      <c r="AO48" s="162" t="s">
        <v>9</v>
      </c>
      <c r="AP48" s="162" t="s">
        <v>9</v>
      </c>
      <c r="AQ48" s="162" t="s">
        <v>9</v>
      </c>
      <c r="AR48" s="162" t="s">
        <v>9</v>
      </c>
      <c r="AS48" s="162" t="s">
        <v>9</v>
      </c>
      <c r="AT48" s="162" t="s">
        <v>9</v>
      </c>
      <c r="AU48" s="162" t="s">
        <v>9</v>
      </c>
      <c r="AV48" s="162" t="s">
        <v>9</v>
      </c>
      <c r="AW48" s="162" t="s">
        <v>9</v>
      </c>
      <c r="AX48" s="162" t="s">
        <v>9</v>
      </c>
      <c r="AY48" s="162" t="s">
        <v>9</v>
      </c>
      <c r="AZ48" s="162" t="s">
        <v>9</v>
      </c>
      <c r="BA48" s="162" t="s">
        <v>9</v>
      </c>
      <c r="BB48" s="162" t="s">
        <v>9</v>
      </c>
      <c r="BC48" s="162" t="s">
        <v>9</v>
      </c>
      <c r="BD48" s="162" t="s">
        <v>9</v>
      </c>
      <c r="BE48" s="162" t="s">
        <v>9</v>
      </c>
      <c r="BF48" s="162" t="s">
        <v>9</v>
      </c>
      <c r="BG48" s="162" t="s">
        <v>9</v>
      </c>
      <c r="BH48" s="162" t="s">
        <v>9</v>
      </c>
      <c r="BI48" s="162" t="s">
        <v>9</v>
      </c>
      <c r="BJ48" s="162" t="s">
        <v>9</v>
      </c>
      <c r="BK48" s="194"/>
    </row>
    <row r="49" spans="1:63">
      <c r="A49" s="145" t="s">
        <v>322</v>
      </c>
      <c r="B49" s="146" t="s">
        <v>607</v>
      </c>
      <c r="C49" s="146" t="str">
        <f>IF(COUNTIF(Measure_62443_2_1[[#This Row],[G 0.13 Interception of Compromising Interference Signals]:[OPS.1.1.3.8 Manipulation of data and tools during patch and change management]],"X")&gt;0,"X","")</f>
        <v/>
      </c>
      <c r="D49" s="162" t="s">
        <v>9</v>
      </c>
      <c r="E49" s="162" t="s">
        <v>9</v>
      </c>
      <c r="F49" s="162" t="s">
        <v>9</v>
      </c>
      <c r="G49" s="162" t="s">
        <v>9</v>
      </c>
      <c r="H49" s="162" t="s">
        <v>9</v>
      </c>
      <c r="I49" s="162" t="s">
        <v>9</v>
      </c>
      <c r="J49" s="162" t="s">
        <v>9</v>
      </c>
      <c r="K49" s="162" t="s">
        <v>9</v>
      </c>
      <c r="L49" s="162" t="s">
        <v>9</v>
      </c>
      <c r="M49" s="162" t="s">
        <v>9</v>
      </c>
      <c r="N49" s="162" t="s">
        <v>9</v>
      </c>
      <c r="O49" s="162" t="s">
        <v>9</v>
      </c>
      <c r="P49" s="162" t="s">
        <v>9</v>
      </c>
      <c r="Q49" s="162" t="s">
        <v>9</v>
      </c>
      <c r="R49" s="162" t="s">
        <v>9</v>
      </c>
      <c r="S49" s="162" t="s">
        <v>9</v>
      </c>
      <c r="T49" s="162" t="s">
        <v>9</v>
      </c>
      <c r="U49" s="162" t="s">
        <v>9</v>
      </c>
      <c r="V49" s="162" t="s">
        <v>9</v>
      </c>
      <c r="W49" s="162" t="s">
        <v>9</v>
      </c>
      <c r="X49" s="162" t="s">
        <v>9</v>
      </c>
      <c r="Y49" s="162" t="s">
        <v>9</v>
      </c>
      <c r="Z49" s="162" t="s">
        <v>9</v>
      </c>
      <c r="AA49" s="162" t="s">
        <v>9</v>
      </c>
      <c r="AB49" s="162" t="s">
        <v>9</v>
      </c>
      <c r="AC49" s="162" t="s">
        <v>9</v>
      </c>
      <c r="AD49" s="162" t="s">
        <v>9</v>
      </c>
      <c r="AE49" s="162" t="s">
        <v>9</v>
      </c>
      <c r="AF49" s="162" t="s">
        <v>9</v>
      </c>
      <c r="AG49" s="162" t="s">
        <v>9</v>
      </c>
      <c r="AH49" s="162" t="s">
        <v>9</v>
      </c>
      <c r="AI49" s="162" t="s">
        <v>9</v>
      </c>
      <c r="AJ49" s="162" t="s">
        <v>9</v>
      </c>
      <c r="AK49" s="162" t="s">
        <v>9</v>
      </c>
      <c r="AL49" s="162" t="s">
        <v>9</v>
      </c>
      <c r="AM49" s="162" t="s">
        <v>9</v>
      </c>
      <c r="AN49" s="162" t="s">
        <v>9</v>
      </c>
      <c r="AO49" s="162" t="s">
        <v>9</v>
      </c>
      <c r="AP49" s="162" t="s">
        <v>9</v>
      </c>
      <c r="AQ49" s="162" t="s">
        <v>9</v>
      </c>
      <c r="AR49" s="162" t="s">
        <v>9</v>
      </c>
      <c r="AS49" s="162" t="s">
        <v>9</v>
      </c>
      <c r="AT49" s="162" t="s">
        <v>9</v>
      </c>
      <c r="AU49" s="162" t="s">
        <v>9</v>
      </c>
      <c r="AV49" s="162" t="s">
        <v>9</v>
      </c>
      <c r="AW49" s="162" t="s">
        <v>9</v>
      </c>
      <c r="AX49" s="162" t="s">
        <v>9</v>
      </c>
      <c r="AY49" s="162" t="s">
        <v>9</v>
      </c>
      <c r="AZ49" s="162" t="s">
        <v>9</v>
      </c>
      <c r="BA49" s="162" t="s">
        <v>9</v>
      </c>
      <c r="BB49" s="162" t="s">
        <v>9</v>
      </c>
      <c r="BC49" s="162" t="s">
        <v>9</v>
      </c>
      <c r="BD49" s="162" t="s">
        <v>9</v>
      </c>
      <c r="BE49" s="162" t="s">
        <v>9</v>
      </c>
      <c r="BF49" s="162" t="s">
        <v>9</v>
      </c>
      <c r="BG49" s="162" t="s">
        <v>9</v>
      </c>
      <c r="BH49" s="162" t="s">
        <v>9</v>
      </c>
      <c r="BI49" s="162" t="s">
        <v>9</v>
      </c>
      <c r="BJ49" s="162" t="s">
        <v>9</v>
      </c>
      <c r="BK49" s="194"/>
    </row>
    <row r="50" spans="1:63">
      <c r="A50" s="145" t="s">
        <v>323</v>
      </c>
      <c r="B50" s="146" t="s">
        <v>607</v>
      </c>
      <c r="C50" s="146" t="str">
        <f>IF(COUNTIF(Measure_62443_2_1[[#This Row],[G 0.13 Interception of Compromising Interference Signals]:[OPS.1.1.3.8 Manipulation of data and tools during patch and change management]],"X")&gt;0,"X","")</f>
        <v/>
      </c>
      <c r="D50" s="162" t="s">
        <v>9</v>
      </c>
      <c r="E50" s="162" t="s">
        <v>9</v>
      </c>
      <c r="F50" s="162" t="s">
        <v>9</v>
      </c>
      <c r="G50" s="162" t="s">
        <v>9</v>
      </c>
      <c r="H50" s="162" t="s">
        <v>9</v>
      </c>
      <c r="I50" s="162" t="s">
        <v>9</v>
      </c>
      <c r="J50" s="162" t="s">
        <v>9</v>
      </c>
      <c r="K50" s="162" t="s">
        <v>9</v>
      </c>
      <c r="L50" s="162" t="s">
        <v>9</v>
      </c>
      <c r="M50" s="162" t="s">
        <v>9</v>
      </c>
      <c r="N50" s="162" t="s">
        <v>9</v>
      </c>
      <c r="O50" s="162" t="s">
        <v>9</v>
      </c>
      <c r="P50" s="162" t="s">
        <v>9</v>
      </c>
      <c r="Q50" s="162" t="s">
        <v>9</v>
      </c>
      <c r="R50" s="162" t="s">
        <v>9</v>
      </c>
      <c r="S50" s="162" t="s">
        <v>9</v>
      </c>
      <c r="T50" s="162" t="s">
        <v>9</v>
      </c>
      <c r="U50" s="162" t="s">
        <v>9</v>
      </c>
      <c r="V50" s="162" t="s">
        <v>9</v>
      </c>
      <c r="W50" s="162" t="s">
        <v>9</v>
      </c>
      <c r="X50" s="162" t="s">
        <v>9</v>
      </c>
      <c r="Y50" s="162" t="s">
        <v>9</v>
      </c>
      <c r="Z50" s="162" t="s">
        <v>9</v>
      </c>
      <c r="AA50" s="162" t="s">
        <v>9</v>
      </c>
      <c r="AB50" s="162" t="s">
        <v>9</v>
      </c>
      <c r="AC50" s="162" t="s">
        <v>9</v>
      </c>
      <c r="AD50" s="162" t="s">
        <v>9</v>
      </c>
      <c r="AE50" s="162" t="s">
        <v>9</v>
      </c>
      <c r="AF50" s="162" t="s">
        <v>9</v>
      </c>
      <c r="AG50" s="162" t="s">
        <v>9</v>
      </c>
      <c r="AH50" s="162" t="s">
        <v>9</v>
      </c>
      <c r="AI50" s="162" t="s">
        <v>9</v>
      </c>
      <c r="AJ50" s="162" t="s">
        <v>9</v>
      </c>
      <c r="AK50" s="162" t="s">
        <v>9</v>
      </c>
      <c r="AL50" s="162" t="s">
        <v>9</v>
      </c>
      <c r="AM50" s="162" t="s">
        <v>9</v>
      </c>
      <c r="AN50" s="162" t="s">
        <v>9</v>
      </c>
      <c r="AO50" s="162" t="s">
        <v>9</v>
      </c>
      <c r="AP50" s="162" t="s">
        <v>9</v>
      </c>
      <c r="AQ50" s="162" t="s">
        <v>9</v>
      </c>
      <c r="AR50" s="162" t="s">
        <v>9</v>
      </c>
      <c r="AS50" s="162" t="s">
        <v>9</v>
      </c>
      <c r="AT50" s="162" t="s">
        <v>9</v>
      </c>
      <c r="AU50" s="162" t="s">
        <v>9</v>
      </c>
      <c r="AV50" s="162" t="s">
        <v>9</v>
      </c>
      <c r="AW50" s="162" t="s">
        <v>9</v>
      </c>
      <c r="AX50" s="162" t="s">
        <v>9</v>
      </c>
      <c r="AY50" s="162" t="s">
        <v>9</v>
      </c>
      <c r="AZ50" s="162" t="s">
        <v>9</v>
      </c>
      <c r="BA50" s="162" t="s">
        <v>9</v>
      </c>
      <c r="BB50" s="162" t="s">
        <v>9</v>
      </c>
      <c r="BC50" s="162" t="s">
        <v>9</v>
      </c>
      <c r="BD50" s="162" t="s">
        <v>9</v>
      </c>
      <c r="BE50" s="162" t="s">
        <v>9</v>
      </c>
      <c r="BF50" s="162" t="s">
        <v>9</v>
      </c>
      <c r="BG50" s="162" t="s">
        <v>9</v>
      </c>
      <c r="BH50" s="162" t="s">
        <v>9</v>
      </c>
      <c r="BI50" s="162" t="s">
        <v>9</v>
      </c>
      <c r="BJ50" s="162" t="s">
        <v>9</v>
      </c>
      <c r="BK50" s="194"/>
    </row>
    <row r="51" spans="1:63">
      <c r="A51" s="145" t="s">
        <v>324</v>
      </c>
      <c r="B51" s="146" t="s">
        <v>607</v>
      </c>
      <c r="C51" s="146" t="str">
        <f>IF(COUNTIF(Measure_62443_2_1[[#This Row],[G 0.13 Interception of Compromising Interference Signals]:[OPS.1.1.3.8 Manipulation of data and tools during patch and change management]],"X")&gt;0,"X","")</f>
        <v/>
      </c>
      <c r="D51" s="162" t="s">
        <v>9</v>
      </c>
      <c r="E51" s="162" t="s">
        <v>9</v>
      </c>
      <c r="F51" s="162" t="s">
        <v>9</v>
      </c>
      <c r="G51" s="162" t="s">
        <v>9</v>
      </c>
      <c r="H51" s="162" t="s">
        <v>9</v>
      </c>
      <c r="I51" s="162" t="s">
        <v>9</v>
      </c>
      <c r="J51" s="162" t="s">
        <v>9</v>
      </c>
      <c r="K51" s="162" t="s">
        <v>9</v>
      </c>
      <c r="L51" s="162" t="s">
        <v>9</v>
      </c>
      <c r="M51" s="162" t="s">
        <v>9</v>
      </c>
      <c r="N51" s="162" t="s">
        <v>9</v>
      </c>
      <c r="O51" s="162" t="s">
        <v>9</v>
      </c>
      <c r="P51" s="162" t="s">
        <v>9</v>
      </c>
      <c r="Q51" s="162" t="s">
        <v>9</v>
      </c>
      <c r="R51" s="162" t="s">
        <v>9</v>
      </c>
      <c r="S51" s="162" t="s">
        <v>9</v>
      </c>
      <c r="T51" s="162" t="s">
        <v>9</v>
      </c>
      <c r="U51" s="162" t="s">
        <v>9</v>
      </c>
      <c r="V51" s="162" t="s">
        <v>9</v>
      </c>
      <c r="W51" s="162" t="s">
        <v>9</v>
      </c>
      <c r="X51" s="162" t="s">
        <v>9</v>
      </c>
      <c r="Y51" s="162" t="s">
        <v>9</v>
      </c>
      <c r="Z51" s="162" t="s">
        <v>9</v>
      </c>
      <c r="AA51" s="162" t="s">
        <v>9</v>
      </c>
      <c r="AB51" s="162" t="s">
        <v>9</v>
      </c>
      <c r="AC51" s="162" t="s">
        <v>9</v>
      </c>
      <c r="AD51" s="162" t="s">
        <v>9</v>
      </c>
      <c r="AE51" s="162" t="s">
        <v>9</v>
      </c>
      <c r="AF51" s="162" t="s">
        <v>9</v>
      </c>
      <c r="AG51" s="162" t="s">
        <v>9</v>
      </c>
      <c r="AH51" s="162" t="s">
        <v>9</v>
      </c>
      <c r="AI51" s="162" t="s">
        <v>9</v>
      </c>
      <c r="AJ51" s="162" t="s">
        <v>9</v>
      </c>
      <c r="AK51" s="162" t="s">
        <v>9</v>
      </c>
      <c r="AL51" s="162" t="s">
        <v>9</v>
      </c>
      <c r="AM51" s="162" t="s">
        <v>9</v>
      </c>
      <c r="AN51" s="162" t="s">
        <v>9</v>
      </c>
      <c r="AO51" s="162" t="s">
        <v>9</v>
      </c>
      <c r="AP51" s="162" t="s">
        <v>9</v>
      </c>
      <c r="AQ51" s="162" t="s">
        <v>9</v>
      </c>
      <c r="AR51" s="162" t="s">
        <v>9</v>
      </c>
      <c r="AS51" s="162" t="s">
        <v>9</v>
      </c>
      <c r="AT51" s="162" t="s">
        <v>9</v>
      </c>
      <c r="AU51" s="162" t="s">
        <v>9</v>
      </c>
      <c r="AV51" s="162" t="s">
        <v>9</v>
      </c>
      <c r="AW51" s="162" t="s">
        <v>9</v>
      </c>
      <c r="AX51" s="162" t="s">
        <v>9</v>
      </c>
      <c r="AY51" s="162" t="s">
        <v>9</v>
      </c>
      <c r="AZ51" s="162" t="s">
        <v>9</v>
      </c>
      <c r="BA51" s="162" t="s">
        <v>9</v>
      </c>
      <c r="BB51" s="162" t="s">
        <v>9</v>
      </c>
      <c r="BC51" s="162" t="s">
        <v>9</v>
      </c>
      <c r="BD51" s="162" t="s">
        <v>9</v>
      </c>
      <c r="BE51" s="162" t="s">
        <v>9</v>
      </c>
      <c r="BF51" s="162" t="s">
        <v>9</v>
      </c>
      <c r="BG51" s="162" t="s">
        <v>9</v>
      </c>
      <c r="BH51" s="162" t="s">
        <v>9</v>
      </c>
      <c r="BI51" s="162" t="s">
        <v>9</v>
      </c>
      <c r="BJ51" s="162" t="s">
        <v>9</v>
      </c>
      <c r="BK51" s="194"/>
    </row>
    <row r="52" spans="1:63">
      <c r="A52" s="145" t="s">
        <v>325</v>
      </c>
      <c r="B52" s="146" t="s">
        <v>607</v>
      </c>
      <c r="C52" s="146" t="str">
        <f>IF(COUNTIF(Measure_62443_2_1[[#This Row],[G 0.13 Interception of Compromising Interference Signals]:[OPS.1.1.3.8 Manipulation of data and tools during patch and change management]],"X")&gt;0,"X","")</f>
        <v/>
      </c>
      <c r="D52" s="162" t="s">
        <v>9</v>
      </c>
      <c r="E52" s="162" t="s">
        <v>9</v>
      </c>
      <c r="F52" s="162" t="s">
        <v>9</v>
      </c>
      <c r="G52" s="162" t="s">
        <v>9</v>
      </c>
      <c r="H52" s="162" t="s">
        <v>9</v>
      </c>
      <c r="I52" s="162" t="s">
        <v>9</v>
      </c>
      <c r="J52" s="162" t="s">
        <v>9</v>
      </c>
      <c r="K52" s="162" t="s">
        <v>9</v>
      </c>
      <c r="L52" s="162" t="s">
        <v>9</v>
      </c>
      <c r="M52" s="162" t="s">
        <v>9</v>
      </c>
      <c r="N52" s="162" t="s">
        <v>9</v>
      </c>
      <c r="O52" s="162" t="s">
        <v>9</v>
      </c>
      <c r="P52" s="162" t="s">
        <v>9</v>
      </c>
      <c r="Q52" s="162" t="s">
        <v>9</v>
      </c>
      <c r="R52" s="162" t="s">
        <v>9</v>
      </c>
      <c r="S52" s="162" t="s">
        <v>9</v>
      </c>
      <c r="T52" s="162" t="s">
        <v>9</v>
      </c>
      <c r="U52" s="162" t="s">
        <v>9</v>
      </c>
      <c r="V52" s="162" t="s">
        <v>9</v>
      </c>
      <c r="W52" s="162" t="s">
        <v>9</v>
      </c>
      <c r="X52" s="162" t="s">
        <v>9</v>
      </c>
      <c r="Y52" s="162" t="s">
        <v>9</v>
      </c>
      <c r="Z52" s="162" t="s">
        <v>9</v>
      </c>
      <c r="AA52" s="162" t="s">
        <v>9</v>
      </c>
      <c r="AB52" s="162" t="s">
        <v>9</v>
      </c>
      <c r="AC52" s="162" t="s">
        <v>9</v>
      </c>
      <c r="AD52" s="162" t="s">
        <v>9</v>
      </c>
      <c r="AE52" s="162" t="s">
        <v>9</v>
      </c>
      <c r="AF52" s="162" t="s">
        <v>9</v>
      </c>
      <c r="AG52" s="162" t="s">
        <v>9</v>
      </c>
      <c r="AH52" s="162" t="s">
        <v>9</v>
      </c>
      <c r="AI52" s="162" t="s">
        <v>9</v>
      </c>
      <c r="AJ52" s="162" t="s">
        <v>9</v>
      </c>
      <c r="AK52" s="162" t="s">
        <v>9</v>
      </c>
      <c r="AL52" s="162" t="s">
        <v>9</v>
      </c>
      <c r="AM52" s="162" t="s">
        <v>9</v>
      </c>
      <c r="AN52" s="162" t="s">
        <v>9</v>
      </c>
      <c r="AO52" s="162" t="s">
        <v>9</v>
      </c>
      <c r="AP52" s="162" t="s">
        <v>9</v>
      </c>
      <c r="AQ52" s="162" t="s">
        <v>9</v>
      </c>
      <c r="AR52" s="162" t="s">
        <v>9</v>
      </c>
      <c r="AS52" s="162" t="s">
        <v>9</v>
      </c>
      <c r="AT52" s="162" t="s">
        <v>9</v>
      </c>
      <c r="AU52" s="162" t="s">
        <v>9</v>
      </c>
      <c r="AV52" s="162" t="s">
        <v>9</v>
      </c>
      <c r="AW52" s="162" t="s">
        <v>9</v>
      </c>
      <c r="AX52" s="162" t="s">
        <v>9</v>
      </c>
      <c r="AY52" s="162" t="s">
        <v>9</v>
      </c>
      <c r="AZ52" s="162" t="s">
        <v>9</v>
      </c>
      <c r="BA52" s="162" t="s">
        <v>9</v>
      </c>
      <c r="BB52" s="162" t="s">
        <v>9</v>
      </c>
      <c r="BC52" s="162" t="s">
        <v>9</v>
      </c>
      <c r="BD52" s="162" t="s">
        <v>9</v>
      </c>
      <c r="BE52" s="162" t="s">
        <v>9</v>
      </c>
      <c r="BF52" s="162" t="s">
        <v>9</v>
      </c>
      <c r="BG52" s="162" t="s">
        <v>9</v>
      </c>
      <c r="BH52" s="162" t="s">
        <v>9</v>
      </c>
      <c r="BI52" s="162" t="s">
        <v>9</v>
      </c>
      <c r="BJ52" s="162" t="s">
        <v>9</v>
      </c>
      <c r="BK52" s="194"/>
    </row>
    <row r="53" spans="1:63">
      <c r="A53" s="145" t="s">
        <v>326</v>
      </c>
      <c r="B53" s="146" t="s">
        <v>607</v>
      </c>
      <c r="C53" s="146" t="str">
        <f>IF(COUNTIF(Measure_62443_2_1[[#This Row],[G 0.13 Interception of Compromising Interference Signals]:[OPS.1.1.3.8 Manipulation of data and tools during patch and change management]],"X")&gt;0,"X","")</f>
        <v/>
      </c>
      <c r="D53" s="162" t="s">
        <v>9</v>
      </c>
      <c r="E53" s="162" t="s">
        <v>9</v>
      </c>
      <c r="F53" s="162" t="s">
        <v>9</v>
      </c>
      <c r="G53" s="162" t="s">
        <v>9</v>
      </c>
      <c r="H53" s="162" t="s">
        <v>9</v>
      </c>
      <c r="I53" s="162" t="s">
        <v>9</v>
      </c>
      <c r="J53" s="162" t="s">
        <v>9</v>
      </c>
      <c r="K53" s="162" t="s">
        <v>9</v>
      </c>
      <c r="L53" s="162" t="s">
        <v>9</v>
      </c>
      <c r="M53" s="162" t="s">
        <v>9</v>
      </c>
      <c r="N53" s="162" t="s">
        <v>9</v>
      </c>
      <c r="O53" s="162" t="s">
        <v>9</v>
      </c>
      <c r="P53" s="162" t="s">
        <v>9</v>
      </c>
      <c r="Q53" s="162" t="s">
        <v>9</v>
      </c>
      <c r="R53" s="162" t="s">
        <v>9</v>
      </c>
      <c r="S53" s="162" t="s">
        <v>9</v>
      </c>
      <c r="T53" s="162" t="s">
        <v>9</v>
      </c>
      <c r="U53" s="162" t="s">
        <v>9</v>
      </c>
      <c r="V53" s="162" t="s">
        <v>9</v>
      </c>
      <c r="W53" s="162" t="s">
        <v>9</v>
      </c>
      <c r="X53" s="162" t="s">
        <v>9</v>
      </c>
      <c r="Y53" s="162" t="s">
        <v>9</v>
      </c>
      <c r="Z53" s="162" t="s">
        <v>9</v>
      </c>
      <c r="AA53" s="162" t="s">
        <v>9</v>
      </c>
      <c r="AB53" s="162" t="s">
        <v>9</v>
      </c>
      <c r="AC53" s="162" t="s">
        <v>9</v>
      </c>
      <c r="AD53" s="162" t="s">
        <v>9</v>
      </c>
      <c r="AE53" s="162" t="s">
        <v>9</v>
      </c>
      <c r="AF53" s="162" t="s">
        <v>9</v>
      </c>
      <c r="AG53" s="162" t="s">
        <v>9</v>
      </c>
      <c r="AH53" s="162" t="s">
        <v>9</v>
      </c>
      <c r="AI53" s="162" t="s">
        <v>9</v>
      </c>
      <c r="AJ53" s="162" t="s">
        <v>9</v>
      </c>
      <c r="AK53" s="162" t="s">
        <v>9</v>
      </c>
      <c r="AL53" s="162" t="s">
        <v>9</v>
      </c>
      <c r="AM53" s="162" t="s">
        <v>9</v>
      </c>
      <c r="AN53" s="162" t="s">
        <v>9</v>
      </c>
      <c r="AO53" s="162" t="s">
        <v>9</v>
      </c>
      <c r="AP53" s="162" t="s">
        <v>9</v>
      </c>
      <c r="AQ53" s="162" t="s">
        <v>9</v>
      </c>
      <c r="AR53" s="162" t="s">
        <v>9</v>
      </c>
      <c r="AS53" s="162" t="s">
        <v>9</v>
      </c>
      <c r="AT53" s="162" t="s">
        <v>9</v>
      </c>
      <c r="AU53" s="162" t="s">
        <v>9</v>
      </c>
      <c r="AV53" s="162" t="s">
        <v>9</v>
      </c>
      <c r="AW53" s="162" t="s">
        <v>9</v>
      </c>
      <c r="AX53" s="162" t="s">
        <v>9</v>
      </c>
      <c r="AY53" s="162" t="s">
        <v>9</v>
      </c>
      <c r="AZ53" s="162" t="s">
        <v>9</v>
      </c>
      <c r="BA53" s="162" t="s">
        <v>9</v>
      </c>
      <c r="BB53" s="162" t="s">
        <v>9</v>
      </c>
      <c r="BC53" s="162" t="s">
        <v>9</v>
      </c>
      <c r="BD53" s="162" t="s">
        <v>9</v>
      </c>
      <c r="BE53" s="162" t="s">
        <v>9</v>
      </c>
      <c r="BF53" s="162" t="s">
        <v>9</v>
      </c>
      <c r="BG53" s="162" t="s">
        <v>9</v>
      </c>
      <c r="BH53" s="162" t="s">
        <v>9</v>
      </c>
      <c r="BI53" s="162" t="s">
        <v>9</v>
      </c>
      <c r="BJ53" s="162" t="s">
        <v>9</v>
      </c>
      <c r="BK53" s="194"/>
    </row>
    <row r="54" spans="1:63">
      <c r="A54" s="145" t="s">
        <v>327</v>
      </c>
      <c r="B54" s="146" t="s">
        <v>607</v>
      </c>
      <c r="C54" s="146" t="str">
        <f>IF(COUNTIF(Measure_62443_2_1[[#This Row],[G 0.13 Interception of Compromising Interference Signals]:[OPS.1.1.3.8 Manipulation of data and tools during patch and change management]],"X")&gt;0,"X","")</f>
        <v/>
      </c>
      <c r="D54" s="162" t="s">
        <v>9</v>
      </c>
      <c r="E54" s="162" t="s">
        <v>9</v>
      </c>
      <c r="F54" s="162" t="s">
        <v>9</v>
      </c>
      <c r="G54" s="162" t="s">
        <v>9</v>
      </c>
      <c r="H54" s="162" t="s">
        <v>9</v>
      </c>
      <c r="I54" s="162" t="s">
        <v>9</v>
      </c>
      <c r="J54" s="162" t="s">
        <v>9</v>
      </c>
      <c r="K54" s="162" t="s">
        <v>9</v>
      </c>
      <c r="L54" s="162" t="s">
        <v>9</v>
      </c>
      <c r="M54" s="162" t="s">
        <v>9</v>
      </c>
      <c r="N54" s="162" t="s">
        <v>9</v>
      </c>
      <c r="O54" s="162" t="s">
        <v>9</v>
      </c>
      <c r="P54" s="162" t="s">
        <v>9</v>
      </c>
      <c r="Q54" s="162" t="s">
        <v>9</v>
      </c>
      <c r="R54" s="162" t="s">
        <v>9</v>
      </c>
      <c r="S54" s="162" t="s">
        <v>9</v>
      </c>
      <c r="T54" s="162" t="s">
        <v>9</v>
      </c>
      <c r="U54" s="162" t="s">
        <v>9</v>
      </c>
      <c r="V54" s="162" t="s">
        <v>9</v>
      </c>
      <c r="W54" s="162" t="s">
        <v>9</v>
      </c>
      <c r="X54" s="162" t="s">
        <v>9</v>
      </c>
      <c r="Y54" s="162" t="s">
        <v>9</v>
      </c>
      <c r="Z54" s="162" t="s">
        <v>9</v>
      </c>
      <c r="AA54" s="162" t="s">
        <v>9</v>
      </c>
      <c r="AB54" s="162" t="s">
        <v>9</v>
      </c>
      <c r="AC54" s="162" t="s">
        <v>9</v>
      </c>
      <c r="AD54" s="162" t="s">
        <v>9</v>
      </c>
      <c r="AE54" s="162" t="s">
        <v>9</v>
      </c>
      <c r="AF54" s="162" t="s">
        <v>9</v>
      </c>
      <c r="AG54" s="162" t="s">
        <v>9</v>
      </c>
      <c r="AH54" s="162" t="s">
        <v>9</v>
      </c>
      <c r="AI54" s="162" t="s">
        <v>9</v>
      </c>
      <c r="AJ54" s="162" t="s">
        <v>9</v>
      </c>
      <c r="AK54" s="162" t="s">
        <v>9</v>
      </c>
      <c r="AL54" s="162" t="s">
        <v>9</v>
      </c>
      <c r="AM54" s="162" t="s">
        <v>9</v>
      </c>
      <c r="AN54" s="162" t="s">
        <v>9</v>
      </c>
      <c r="AO54" s="162" t="s">
        <v>9</v>
      </c>
      <c r="AP54" s="162" t="s">
        <v>9</v>
      </c>
      <c r="AQ54" s="162" t="s">
        <v>9</v>
      </c>
      <c r="AR54" s="162" t="s">
        <v>9</v>
      </c>
      <c r="AS54" s="162" t="s">
        <v>9</v>
      </c>
      <c r="AT54" s="162" t="s">
        <v>9</v>
      </c>
      <c r="AU54" s="162" t="s">
        <v>9</v>
      </c>
      <c r="AV54" s="162" t="s">
        <v>9</v>
      </c>
      <c r="AW54" s="162" t="s">
        <v>9</v>
      </c>
      <c r="AX54" s="162" t="s">
        <v>9</v>
      </c>
      <c r="AY54" s="162" t="s">
        <v>9</v>
      </c>
      <c r="AZ54" s="162" t="s">
        <v>9</v>
      </c>
      <c r="BA54" s="162" t="s">
        <v>9</v>
      </c>
      <c r="BB54" s="162" t="s">
        <v>9</v>
      </c>
      <c r="BC54" s="162" t="s">
        <v>9</v>
      </c>
      <c r="BD54" s="162" t="s">
        <v>9</v>
      </c>
      <c r="BE54" s="162" t="s">
        <v>9</v>
      </c>
      <c r="BF54" s="162" t="s">
        <v>9</v>
      </c>
      <c r="BG54" s="162" t="s">
        <v>9</v>
      </c>
      <c r="BH54" s="162" t="s">
        <v>9</v>
      </c>
      <c r="BI54" s="162" t="s">
        <v>9</v>
      </c>
      <c r="BJ54" s="162" t="s">
        <v>9</v>
      </c>
      <c r="BK54" s="194"/>
    </row>
    <row r="55" spans="1:63">
      <c r="A55" s="145" t="s">
        <v>328</v>
      </c>
      <c r="B55" s="146" t="s">
        <v>607</v>
      </c>
      <c r="C55" s="146" t="str">
        <f>IF(COUNTIF(Measure_62443_2_1[[#This Row],[G 0.13 Interception of Compromising Interference Signals]:[OPS.1.1.3.8 Manipulation of data and tools during patch and change management]],"X")&gt;0,"X","")</f>
        <v/>
      </c>
      <c r="D55" s="162" t="s">
        <v>9</v>
      </c>
      <c r="E55" s="162" t="s">
        <v>9</v>
      </c>
      <c r="F55" s="162" t="s">
        <v>9</v>
      </c>
      <c r="G55" s="162" t="s">
        <v>9</v>
      </c>
      <c r="H55" s="162" t="s">
        <v>9</v>
      </c>
      <c r="I55" s="162" t="s">
        <v>9</v>
      </c>
      <c r="J55" s="162" t="s">
        <v>9</v>
      </c>
      <c r="K55" s="162" t="s">
        <v>9</v>
      </c>
      <c r="L55" s="162" t="s">
        <v>9</v>
      </c>
      <c r="M55" s="162" t="s">
        <v>9</v>
      </c>
      <c r="N55" s="162" t="s">
        <v>9</v>
      </c>
      <c r="O55" s="162" t="s">
        <v>9</v>
      </c>
      <c r="P55" s="162" t="s">
        <v>9</v>
      </c>
      <c r="Q55" s="162" t="s">
        <v>9</v>
      </c>
      <c r="R55" s="162" t="s">
        <v>9</v>
      </c>
      <c r="S55" s="162" t="s">
        <v>9</v>
      </c>
      <c r="T55" s="162" t="s">
        <v>9</v>
      </c>
      <c r="U55" s="162" t="s">
        <v>9</v>
      </c>
      <c r="V55" s="162" t="s">
        <v>9</v>
      </c>
      <c r="W55" s="162" t="s">
        <v>9</v>
      </c>
      <c r="X55" s="162" t="s">
        <v>9</v>
      </c>
      <c r="Y55" s="162" t="s">
        <v>9</v>
      </c>
      <c r="Z55" s="162" t="s">
        <v>9</v>
      </c>
      <c r="AA55" s="162" t="s">
        <v>9</v>
      </c>
      <c r="AB55" s="162" t="s">
        <v>9</v>
      </c>
      <c r="AC55" s="162" t="s">
        <v>9</v>
      </c>
      <c r="AD55" s="162" t="s">
        <v>9</v>
      </c>
      <c r="AE55" s="162" t="s">
        <v>9</v>
      </c>
      <c r="AF55" s="162" t="s">
        <v>9</v>
      </c>
      <c r="AG55" s="162" t="s">
        <v>9</v>
      </c>
      <c r="AH55" s="162" t="s">
        <v>9</v>
      </c>
      <c r="AI55" s="162" t="s">
        <v>9</v>
      </c>
      <c r="AJ55" s="162" t="s">
        <v>9</v>
      </c>
      <c r="AK55" s="162" t="s">
        <v>9</v>
      </c>
      <c r="AL55" s="162" t="s">
        <v>9</v>
      </c>
      <c r="AM55" s="162" t="s">
        <v>9</v>
      </c>
      <c r="AN55" s="162" t="s">
        <v>9</v>
      </c>
      <c r="AO55" s="162" t="s">
        <v>9</v>
      </c>
      <c r="AP55" s="162" t="s">
        <v>9</v>
      </c>
      <c r="AQ55" s="162" t="s">
        <v>9</v>
      </c>
      <c r="AR55" s="162" t="s">
        <v>9</v>
      </c>
      <c r="AS55" s="162" t="s">
        <v>9</v>
      </c>
      <c r="AT55" s="162" t="s">
        <v>9</v>
      </c>
      <c r="AU55" s="162" t="s">
        <v>9</v>
      </c>
      <c r="AV55" s="162" t="s">
        <v>9</v>
      </c>
      <c r="AW55" s="162" t="s">
        <v>9</v>
      </c>
      <c r="AX55" s="162" t="s">
        <v>9</v>
      </c>
      <c r="AY55" s="162" t="s">
        <v>9</v>
      </c>
      <c r="AZ55" s="162" t="s">
        <v>9</v>
      </c>
      <c r="BA55" s="162" t="s">
        <v>9</v>
      </c>
      <c r="BB55" s="162" t="s">
        <v>9</v>
      </c>
      <c r="BC55" s="162" t="s">
        <v>9</v>
      </c>
      <c r="BD55" s="162" t="s">
        <v>9</v>
      </c>
      <c r="BE55" s="162" t="s">
        <v>9</v>
      </c>
      <c r="BF55" s="162" t="s">
        <v>9</v>
      </c>
      <c r="BG55" s="162" t="s">
        <v>9</v>
      </c>
      <c r="BH55" s="162" t="s">
        <v>9</v>
      </c>
      <c r="BI55" s="162" t="s">
        <v>9</v>
      </c>
      <c r="BJ55" s="162" t="s">
        <v>9</v>
      </c>
      <c r="BK55" s="194"/>
    </row>
    <row r="56" spans="1:63">
      <c r="A56" s="145" t="s">
        <v>329</v>
      </c>
      <c r="B56" s="146" t="s">
        <v>607</v>
      </c>
      <c r="C56" s="146" t="str">
        <f>IF(COUNTIF(Measure_62443_2_1[[#This Row],[G 0.13 Interception of Compromising Interference Signals]:[OPS.1.1.3.8 Manipulation of data and tools during patch and change management]],"X")&gt;0,"X","")</f>
        <v/>
      </c>
      <c r="D56" s="162" t="s">
        <v>9</v>
      </c>
      <c r="E56" s="162" t="s">
        <v>9</v>
      </c>
      <c r="F56" s="162" t="s">
        <v>9</v>
      </c>
      <c r="G56" s="162" t="s">
        <v>9</v>
      </c>
      <c r="H56" s="162" t="s">
        <v>9</v>
      </c>
      <c r="I56" s="162" t="s">
        <v>9</v>
      </c>
      <c r="J56" s="162" t="s">
        <v>9</v>
      </c>
      <c r="K56" s="162" t="s">
        <v>9</v>
      </c>
      <c r="L56" s="162" t="s">
        <v>9</v>
      </c>
      <c r="M56" s="162" t="s">
        <v>9</v>
      </c>
      <c r="N56" s="162" t="s">
        <v>9</v>
      </c>
      <c r="O56" s="162" t="s">
        <v>9</v>
      </c>
      <c r="P56" s="162" t="s">
        <v>9</v>
      </c>
      <c r="Q56" s="162" t="s">
        <v>9</v>
      </c>
      <c r="R56" s="162" t="s">
        <v>9</v>
      </c>
      <c r="S56" s="162" t="s">
        <v>9</v>
      </c>
      <c r="T56" s="162" t="s">
        <v>9</v>
      </c>
      <c r="U56" s="162" t="s">
        <v>9</v>
      </c>
      <c r="V56" s="162" t="s">
        <v>9</v>
      </c>
      <c r="W56" s="162" t="s">
        <v>9</v>
      </c>
      <c r="X56" s="162" t="s">
        <v>9</v>
      </c>
      <c r="Y56" s="162" t="s">
        <v>9</v>
      </c>
      <c r="Z56" s="162" t="s">
        <v>9</v>
      </c>
      <c r="AA56" s="162" t="s">
        <v>9</v>
      </c>
      <c r="AB56" s="162" t="s">
        <v>9</v>
      </c>
      <c r="AC56" s="162" t="s">
        <v>9</v>
      </c>
      <c r="AD56" s="162" t="s">
        <v>9</v>
      </c>
      <c r="AE56" s="162" t="s">
        <v>9</v>
      </c>
      <c r="AF56" s="162" t="s">
        <v>9</v>
      </c>
      <c r="AG56" s="162" t="s">
        <v>9</v>
      </c>
      <c r="AH56" s="162" t="s">
        <v>9</v>
      </c>
      <c r="AI56" s="162" t="s">
        <v>9</v>
      </c>
      <c r="AJ56" s="162" t="s">
        <v>9</v>
      </c>
      <c r="AK56" s="162" t="s">
        <v>9</v>
      </c>
      <c r="AL56" s="162" t="s">
        <v>9</v>
      </c>
      <c r="AM56" s="162" t="s">
        <v>9</v>
      </c>
      <c r="AN56" s="162" t="s">
        <v>9</v>
      </c>
      <c r="AO56" s="162" t="s">
        <v>9</v>
      </c>
      <c r="AP56" s="162" t="s">
        <v>9</v>
      </c>
      <c r="AQ56" s="162" t="s">
        <v>9</v>
      </c>
      <c r="AR56" s="162" t="s">
        <v>9</v>
      </c>
      <c r="AS56" s="162" t="s">
        <v>9</v>
      </c>
      <c r="AT56" s="162" t="s">
        <v>9</v>
      </c>
      <c r="AU56" s="162" t="s">
        <v>9</v>
      </c>
      <c r="AV56" s="162" t="s">
        <v>9</v>
      </c>
      <c r="AW56" s="162" t="s">
        <v>9</v>
      </c>
      <c r="AX56" s="162" t="s">
        <v>9</v>
      </c>
      <c r="AY56" s="162" t="s">
        <v>9</v>
      </c>
      <c r="AZ56" s="162" t="s">
        <v>9</v>
      </c>
      <c r="BA56" s="162" t="s">
        <v>9</v>
      </c>
      <c r="BB56" s="162" t="s">
        <v>9</v>
      </c>
      <c r="BC56" s="162" t="s">
        <v>9</v>
      </c>
      <c r="BD56" s="162" t="s">
        <v>9</v>
      </c>
      <c r="BE56" s="162" t="s">
        <v>9</v>
      </c>
      <c r="BF56" s="162" t="s">
        <v>9</v>
      </c>
      <c r="BG56" s="162" t="s">
        <v>9</v>
      </c>
      <c r="BH56" s="162" t="s">
        <v>9</v>
      </c>
      <c r="BI56" s="162" t="s">
        <v>9</v>
      </c>
      <c r="BJ56" s="162" t="s">
        <v>9</v>
      </c>
      <c r="BK56" s="194"/>
    </row>
    <row r="57" spans="1:63">
      <c r="A57" s="145" t="s">
        <v>330</v>
      </c>
      <c r="B57" s="146" t="s">
        <v>607</v>
      </c>
      <c r="C57" s="146" t="str">
        <f>IF(COUNTIF(Measure_62443_2_1[[#This Row],[G 0.13 Interception of Compromising Interference Signals]:[OPS.1.1.3.8 Manipulation of data and tools during patch and change management]],"X")&gt;0,"X","")</f>
        <v/>
      </c>
      <c r="D57" s="162" t="s">
        <v>9</v>
      </c>
      <c r="E57" s="162" t="s">
        <v>9</v>
      </c>
      <c r="F57" s="162" t="s">
        <v>9</v>
      </c>
      <c r="G57" s="162" t="s">
        <v>9</v>
      </c>
      <c r="H57" s="162" t="s">
        <v>9</v>
      </c>
      <c r="I57" s="162" t="s">
        <v>9</v>
      </c>
      <c r="J57" s="162" t="s">
        <v>9</v>
      </c>
      <c r="K57" s="162" t="s">
        <v>9</v>
      </c>
      <c r="L57" s="162" t="s">
        <v>9</v>
      </c>
      <c r="M57" s="162" t="s">
        <v>9</v>
      </c>
      <c r="N57" s="162" t="s">
        <v>9</v>
      </c>
      <c r="O57" s="162" t="s">
        <v>9</v>
      </c>
      <c r="P57" s="162" t="s">
        <v>9</v>
      </c>
      <c r="Q57" s="162" t="s">
        <v>9</v>
      </c>
      <c r="R57" s="162" t="s">
        <v>9</v>
      </c>
      <c r="S57" s="162" t="s">
        <v>9</v>
      </c>
      <c r="T57" s="162" t="s">
        <v>9</v>
      </c>
      <c r="U57" s="162" t="s">
        <v>9</v>
      </c>
      <c r="V57" s="162" t="s">
        <v>9</v>
      </c>
      <c r="W57" s="162" t="s">
        <v>9</v>
      </c>
      <c r="X57" s="162" t="s">
        <v>9</v>
      </c>
      <c r="Y57" s="162" t="s">
        <v>9</v>
      </c>
      <c r="Z57" s="162" t="s">
        <v>9</v>
      </c>
      <c r="AA57" s="162" t="s">
        <v>9</v>
      </c>
      <c r="AB57" s="162" t="s">
        <v>9</v>
      </c>
      <c r="AC57" s="162" t="s">
        <v>9</v>
      </c>
      <c r="AD57" s="162" t="s">
        <v>9</v>
      </c>
      <c r="AE57" s="162" t="s">
        <v>9</v>
      </c>
      <c r="AF57" s="162" t="s">
        <v>9</v>
      </c>
      <c r="AG57" s="162" t="s">
        <v>9</v>
      </c>
      <c r="AH57" s="162" t="s">
        <v>9</v>
      </c>
      <c r="AI57" s="162" t="s">
        <v>9</v>
      </c>
      <c r="AJ57" s="162" t="s">
        <v>9</v>
      </c>
      <c r="AK57" s="162" t="s">
        <v>9</v>
      </c>
      <c r="AL57" s="162" t="s">
        <v>9</v>
      </c>
      <c r="AM57" s="162" t="s">
        <v>9</v>
      </c>
      <c r="AN57" s="162" t="s">
        <v>9</v>
      </c>
      <c r="AO57" s="162" t="s">
        <v>9</v>
      </c>
      <c r="AP57" s="162" t="s">
        <v>9</v>
      </c>
      <c r="AQ57" s="162" t="s">
        <v>9</v>
      </c>
      <c r="AR57" s="162" t="s">
        <v>9</v>
      </c>
      <c r="AS57" s="162" t="s">
        <v>9</v>
      </c>
      <c r="AT57" s="162" t="s">
        <v>9</v>
      </c>
      <c r="AU57" s="162" t="s">
        <v>9</v>
      </c>
      <c r="AV57" s="162" t="s">
        <v>9</v>
      </c>
      <c r="AW57" s="162" t="s">
        <v>9</v>
      </c>
      <c r="AX57" s="162" t="s">
        <v>9</v>
      </c>
      <c r="AY57" s="162" t="s">
        <v>9</v>
      </c>
      <c r="AZ57" s="162" t="s">
        <v>9</v>
      </c>
      <c r="BA57" s="162" t="s">
        <v>9</v>
      </c>
      <c r="BB57" s="162" t="s">
        <v>9</v>
      </c>
      <c r="BC57" s="162" t="s">
        <v>9</v>
      </c>
      <c r="BD57" s="162" t="s">
        <v>9</v>
      </c>
      <c r="BE57" s="162" t="s">
        <v>9</v>
      </c>
      <c r="BF57" s="162" t="s">
        <v>9</v>
      </c>
      <c r="BG57" s="162" t="s">
        <v>9</v>
      </c>
      <c r="BH57" s="162" t="s">
        <v>9</v>
      </c>
      <c r="BI57" s="162" t="s">
        <v>9</v>
      </c>
      <c r="BJ57" s="162" t="s">
        <v>9</v>
      </c>
      <c r="BK57" s="194"/>
    </row>
    <row r="58" spans="1:63">
      <c r="A58" s="145" t="s">
        <v>331</v>
      </c>
      <c r="B58" s="146" t="s">
        <v>607</v>
      </c>
      <c r="C58" s="146" t="str">
        <f>IF(COUNTIF(Measure_62443_2_1[[#This Row],[G 0.13 Interception of Compromising Interference Signals]:[OPS.1.1.3.8 Manipulation of data and tools during patch and change management]],"X")&gt;0,"X","")</f>
        <v/>
      </c>
      <c r="D58" s="162" t="s">
        <v>9</v>
      </c>
      <c r="E58" s="162" t="s">
        <v>9</v>
      </c>
      <c r="F58" s="162" t="s">
        <v>9</v>
      </c>
      <c r="G58" s="162" t="s">
        <v>9</v>
      </c>
      <c r="H58" s="162" t="s">
        <v>9</v>
      </c>
      <c r="I58" s="162" t="s">
        <v>9</v>
      </c>
      <c r="J58" s="162" t="s">
        <v>9</v>
      </c>
      <c r="K58" s="162" t="s">
        <v>9</v>
      </c>
      <c r="L58" s="162" t="s">
        <v>9</v>
      </c>
      <c r="M58" s="162" t="s">
        <v>9</v>
      </c>
      <c r="N58" s="162" t="s">
        <v>9</v>
      </c>
      <c r="O58" s="162" t="s">
        <v>9</v>
      </c>
      <c r="P58" s="162" t="s">
        <v>9</v>
      </c>
      <c r="Q58" s="162" t="s">
        <v>9</v>
      </c>
      <c r="R58" s="162" t="s">
        <v>9</v>
      </c>
      <c r="S58" s="162" t="s">
        <v>9</v>
      </c>
      <c r="T58" s="162" t="s">
        <v>9</v>
      </c>
      <c r="U58" s="162" t="s">
        <v>9</v>
      </c>
      <c r="V58" s="162" t="s">
        <v>9</v>
      </c>
      <c r="W58" s="162" t="s">
        <v>9</v>
      </c>
      <c r="X58" s="162" t="s">
        <v>9</v>
      </c>
      <c r="Y58" s="162" t="s">
        <v>9</v>
      </c>
      <c r="Z58" s="162" t="s">
        <v>9</v>
      </c>
      <c r="AA58" s="162" t="s">
        <v>9</v>
      </c>
      <c r="AB58" s="162" t="s">
        <v>9</v>
      </c>
      <c r="AC58" s="162" t="s">
        <v>9</v>
      </c>
      <c r="AD58" s="162" t="s">
        <v>9</v>
      </c>
      <c r="AE58" s="162" t="s">
        <v>9</v>
      </c>
      <c r="AF58" s="162" t="s">
        <v>9</v>
      </c>
      <c r="AG58" s="162" t="s">
        <v>9</v>
      </c>
      <c r="AH58" s="162" t="s">
        <v>9</v>
      </c>
      <c r="AI58" s="162" t="s">
        <v>9</v>
      </c>
      <c r="AJ58" s="162" t="s">
        <v>9</v>
      </c>
      <c r="AK58" s="162" t="s">
        <v>9</v>
      </c>
      <c r="AL58" s="162" t="s">
        <v>9</v>
      </c>
      <c r="AM58" s="162" t="s">
        <v>9</v>
      </c>
      <c r="AN58" s="162" t="s">
        <v>9</v>
      </c>
      <c r="AO58" s="162" t="s">
        <v>9</v>
      </c>
      <c r="AP58" s="162" t="s">
        <v>9</v>
      </c>
      <c r="AQ58" s="162" t="s">
        <v>9</v>
      </c>
      <c r="AR58" s="162" t="s">
        <v>9</v>
      </c>
      <c r="AS58" s="162" t="s">
        <v>9</v>
      </c>
      <c r="AT58" s="162" t="s">
        <v>9</v>
      </c>
      <c r="AU58" s="162" t="s">
        <v>9</v>
      </c>
      <c r="AV58" s="162" t="s">
        <v>9</v>
      </c>
      <c r="AW58" s="162" t="s">
        <v>9</v>
      </c>
      <c r="AX58" s="162" t="s">
        <v>9</v>
      </c>
      <c r="AY58" s="162" t="s">
        <v>9</v>
      </c>
      <c r="AZ58" s="162" t="s">
        <v>9</v>
      </c>
      <c r="BA58" s="162" t="s">
        <v>9</v>
      </c>
      <c r="BB58" s="162" t="s">
        <v>9</v>
      </c>
      <c r="BC58" s="162" t="s">
        <v>9</v>
      </c>
      <c r="BD58" s="162" t="s">
        <v>9</v>
      </c>
      <c r="BE58" s="162" t="s">
        <v>9</v>
      </c>
      <c r="BF58" s="162" t="s">
        <v>9</v>
      </c>
      <c r="BG58" s="162" t="s">
        <v>9</v>
      </c>
      <c r="BH58" s="162" t="s">
        <v>9</v>
      </c>
      <c r="BI58" s="162" t="s">
        <v>9</v>
      </c>
      <c r="BJ58" s="162" t="s">
        <v>9</v>
      </c>
      <c r="BK58" s="194"/>
    </row>
    <row r="59" spans="1:63">
      <c r="A59" s="145" t="s">
        <v>332</v>
      </c>
      <c r="B59" s="146" t="s">
        <v>607</v>
      </c>
      <c r="C59" s="146" t="str">
        <f>IF(COUNTIF(Measure_62443_2_1[[#This Row],[G 0.13 Interception of Compromising Interference Signals]:[OPS.1.1.3.8 Manipulation of data and tools during patch and change management]],"X")&gt;0,"X","")</f>
        <v/>
      </c>
      <c r="D59" s="162" t="s">
        <v>9</v>
      </c>
      <c r="E59" s="162" t="s">
        <v>9</v>
      </c>
      <c r="F59" s="162" t="s">
        <v>9</v>
      </c>
      <c r="G59" s="162" t="s">
        <v>9</v>
      </c>
      <c r="H59" s="162" t="s">
        <v>9</v>
      </c>
      <c r="I59" s="162" t="s">
        <v>9</v>
      </c>
      <c r="J59" s="162" t="s">
        <v>9</v>
      </c>
      <c r="K59" s="162" t="s">
        <v>9</v>
      </c>
      <c r="L59" s="162" t="s">
        <v>9</v>
      </c>
      <c r="M59" s="162" t="s">
        <v>9</v>
      </c>
      <c r="N59" s="162" t="s">
        <v>9</v>
      </c>
      <c r="O59" s="162" t="s">
        <v>9</v>
      </c>
      <c r="P59" s="162" t="s">
        <v>9</v>
      </c>
      <c r="Q59" s="162" t="s">
        <v>9</v>
      </c>
      <c r="R59" s="162" t="s">
        <v>9</v>
      </c>
      <c r="S59" s="162" t="s">
        <v>9</v>
      </c>
      <c r="T59" s="162" t="s">
        <v>9</v>
      </c>
      <c r="U59" s="162" t="s">
        <v>9</v>
      </c>
      <c r="V59" s="162" t="s">
        <v>9</v>
      </c>
      <c r="W59" s="162" t="s">
        <v>9</v>
      </c>
      <c r="X59" s="162" t="s">
        <v>9</v>
      </c>
      <c r="Y59" s="162" t="s">
        <v>9</v>
      </c>
      <c r="Z59" s="162" t="s">
        <v>9</v>
      </c>
      <c r="AA59" s="162" t="s">
        <v>9</v>
      </c>
      <c r="AB59" s="162" t="s">
        <v>9</v>
      </c>
      <c r="AC59" s="162" t="s">
        <v>9</v>
      </c>
      <c r="AD59" s="162" t="s">
        <v>9</v>
      </c>
      <c r="AE59" s="162" t="s">
        <v>9</v>
      </c>
      <c r="AF59" s="162" t="s">
        <v>9</v>
      </c>
      <c r="AG59" s="162" t="s">
        <v>9</v>
      </c>
      <c r="AH59" s="162" t="s">
        <v>9</v>
      </c>
      <c r="AI59" s="162" t="s">
        <v>9</v>
      </c>
      <c r="AJ59" s="162" t="s">
        <v>9</v>
      </c>
      <c r="AK59" s="162" t="s">
        <v>9</v>
      </c>
      <c r="AL59" s="162" t="s">
        <v>9</v>
      </c>
      <c r="AM59" s="162" t="s">
        <v>9</v>
      </c>
      <c r="AN59" s="162" t="s">
        <v>9</v>
      </c>
      <c r="AO59" s="162" t="s">
        <v>9</v>
      </c>
      <c r="AP59" s="162" t="s">
        <v>9</v>
      </c>
      <c r="AQ59" s="162" t="s">
        <v>9</v>
      </c>
      <c r="AR59" s="162" t="s">
        <v>9</v>
      </c>
      <c r="AS59" s="162" t="s">
        <v>9</v>
      </c>
      <c r="AT59" s="162" t="s">
        <v>9</v>
      </c>
      <c r="AU59" s="162" t="s">
        <v>9</v>
      </c>
      <c r="AV59" s="162" t="s">
        <v>9</v>
      </c>
      <c r="AW59" s="162" t="s">
        <v>9</v>
      </c>
      <c r="AX59" s="162" t="s">
        <v>9</v>
      </c>
      <c r="AY59" s="162" t="s">
        <v>9</v>
      </c>
      <c r="AZ59" s="162" t="s">
        <v>9</v>
      </c>
      <c r="BA59" s="162" t="s">
        <v>9</v>
      </c>
      <c r="BB59" s="162" t="s">
        <v>9</v>
      </c>
      <c r="BC59" s="162" t="s">
        <v>9</v>
      </c>
      <c r="BD59" s="162" t="s">
        <v>9</v>
      </c>
      <c r="BE59" s="162" t="s">
        <v>9</v>
      </c>
      <c r="BF59" s="162" t="s">
        <v>9</v>
      </c>
      <c r="BG59" s="162" t="s">
        <v>9</v>
      </c>
      <c r="BH59" s="162" t="s">
        <v>9</v>
      </c>
      <c r="BI59" s="162" t="s">
        <v>9</v>
      </c>
      <c r="BJ59" s="162" t="s">
        <v>9</v>
      </c>
      <c r="BK59" s="194"/>
    </row>
    <row r="60" spans="1:63">
      <c r="A60" s="145" t="s">
        <v>333</v>
      </c>
      <c r="B60" s="146" t="s">
        <v>607</v>
      </c>
      <c r="C60" s="146" t="str">
        <f>IF(COUNTIF(Measure_62443_2_1[[#This Row],[G 0.13 Interception of Compromising Interference Signals]:[OPS.1.1.3.8 Manipulation of data and tools during patch and change management]],"X")&gt;0,"X","")</f>
        <v/>
      </c>
      <c r="D60" s="162" t="s">
        <v>9</v>
      </c>
      <c r="E60" s="162" t="s">
        <v>9</v>
      </c>
      <c r="F60" s="162" t="s">
        <v>9</v>
      </c>
      <c r="G60" s="162" t="s">
        <v>9</v>
      </c>
      <c r="H60" s="162" t="s">
        <v>9</v>
      </c>
      <c r="I60" s="162" t="s">
        <v>9</v>
      </c>
      <c r="J60" s="162" t="s">
        <v>9</v>
      </c>
      <c r="K60" s="162" t="s">
        <v>9</v>
      </c>
      <c r="L60" s="162" t="s">
        <v>9</v>
      </c>
      <c r="M60" s="162" t="s">
        <v>9</v>
      </c>
      <c r="N60" s="162" t="s">
        <v>9</v>
      </c>
      <c r="O60" s="162" t="s">
        <v>9</v>
      </c>
      <c r="P60" s="162" t="s">
        <v>9</v>
      </c>
      <c r="Q60" s="162" t="s">
        <v>9</v>
      </c>
      <c r="R60" s="162" t="s">
        <v>9</v>
      </c>
      <c r="S60" s="162" t="s">
        <v>9</v>
      </c>
      <c r="T60" s="162" t="s">
        <v>9</v>
      </c>
      <c r="U60" s="162" t="s">
        <v>9</v>
      </c>
      <c r="V60" s="162" t="s">
        <v>9</v>
      </c>
      <c r="W60" s="162" t="s">
        <v>9</v>
      </c>
      <c r="X60" s="162" t="s">
        <v>9</v>
      </c>
      <c r="Y60" s="162" t="s">
        <v>9</v>
      </c>
      <c r="Z60" s="162" t="s">
        <v>9</v>
      </c>
      <c r="AA60" s="162" t="s">
        <v>9</v>
      </c>
      <c r="AB60" s="162" t="s">
        <v>9</v>
      </c>
      <c r="AC60" s="162" t="s">
        <v>9</v>
      </c>
      <c r="AD60" s="162" t="s">
        <v>9</v>
      </c>
      <c r="AE60" s="162" t="s">
        <v>9</v>
      </c>
      <c r="AF60" s="162" t="s">
        <v>9</v>
      </c>
      <c r="AG60" s="162" t="s">
        <v>9</v>
      </c>
      <c r="AH60" s="162" t="s">
        <v>9</v>
      </c>
      <c r="AI60" s="162" t="s">
        <v>9</v>
      </c>
      <c r="AJ60" s="162" t="s">
        <v>9</v>
      </c>
      <c r="AK60" s="162" t="s">
        <v>9</v>
      </c>
      <c r="AL60" s="162" t="s">
        <v>9</v>
      </c>
      <c r="AM60" s="162" t="s">
        <v>9</v>
      </c>
      <c r="AN60" s="162" t="s">
        <v>9</v>
      </c>
      <c r="AO60" s="162" t="s">
        <v>9</v>
      </c>
      <c r="AP60" s="162" t="s">
        <v>9</v>
      </c>
      <c r="AQ60" s="162" t="s">
        <v>9</v>
      </c>
      <c r="AR60" s="162" t="s">
        <v>9</v>
      </c>
      <c r="AS60" s="162" t="s">
        <v>9</v>
      </c>
      <c r="AT60" s="162" t="s">
        <v>9</v>
      </c>
      <c r="AU60" s="162" t="s">
        <v>9</v>
      </c>
      <c r="AV60" s="162" t="s">
        <v>9</v>
      </c>
      <c r="AW60" s="162" t="s">
        <v>9</v>
      </c>
      <c r="AX60" s="162" t="s">
        <v>9</v>
      </c>
      <c r="AY60" s="162" t="s">
        <v>9</v>
      </c>
      <c r="AZ60" s="162" t="s">
        <v>9</v>
      </c>
      <c r="BA60" s="162" t="s">
        <v>9</v>
      </c>
      <c r="BB60" s="162" t="s">
        <v>9</v>
      </c>
      <c r="BC60" s="162" t="s">
        <v>9</v>
      </c>
      <c r="BD60" s="162" t="s">
        <v>9</v>
      </c>
      <c r="BE60" s="162" t="s">
        <v>9</v>
      </c>
      <c r="BF60" s="162" t="s">
        <v>9</v>
      </c>
      <c r="BG60" s="162" t="s">
        <v>9</v>
      </c>
      <c r="BH60" s="162" t="s">
        <v>9</v>
      </c>
      <c r="BI60" s="162" t="s">
        <v>9</v>
      </c>
      <c r="BJ60" s="162" t="s">
        <v>9</v>
      </c>
      <c r="BK60" s="194"/>
    </row>
    <row r="61" spans="1:63">
      <c r="A61" s="145" t="s">
        <v>334</v>
      </c>
      <c r="B61" s="146" t="s">
        <v>607</v>
      </c>
      <c r="C61" s="146" t="str">
        <f>IF(COUNTIF(Measure_62443_2_1[[#This Row],[G 0.13 Interception of Compromising Interference Signals]:[OPS.1.1.3.8 Manipulation of data and tools during patch and change management]],"X")&gt;0,"X","")</f>
        <v/>
      </c>
      <c r="D61" s="162" t="s">
        <v>9</v>
      </c>
      <c r="E61" s="162" t="s">
        <v>9</v>
      </c>
      <c r="F61" s="162" t="s">
        <v>9</v>
      </c>
      <c r="G61" s="162" t="s">
        <v>9</v>
      </c>
      <c r="H61" s="162" t="s">
        <v>9</v>
      </c>
      <c r="I61" s="162" t="s">
        <v>9</v>
      </c>
      <c r="J61" s="162" t="s">
        <v>9</v>
      </c>
      <c r="K61" s="162" t="s">
        <v>9</v>
      </c>
      <c r="L61" s="162" t="s">
        <v>9</v>
      </c>
      <c r="M61" s="162" t="s">
        <v>9</v>
      </c>
      <c r="N61" s="162" t="s">
        <v>9</v>
      </c>
      <c r="O61" s="162" t="s">
        <v>9</v>
      </c>
      <c r="P61" s="162" t="s">
        <v>9</v>
      </c>
      <c r="Q61" s="162" t="s">
        <v>9</v>
      </c>
      <c r="R61" s="162" t="s">
        <v>9</v>
      </c>
      <c r="S61" s="162" t="s">
        <v>9</v>
      </c>
      <c r="T61" s="162" t="s">
        <v>9</v>
      </c>
      <c r="U61" s="162" t="s">
        <v>9</v>
      </c>
      <c r="V61" s="162" t="s">
        <v>9</v>
      </c>
      <c r="W61" s="162" t="s">
        <v>9</v>
      </c>
      <c r="X61" s="162" t="s">
        <v>9</v>
      </c>
      <c r="Y61" s="162" t="s">
        <v>9</v>
      </c>
      <c r="Z61" s="162" t="s">
        <v>9</v>
      </c>
      <c r="AA61" s="162" t="s">
        <v>9</v>
      </c>
      <c r="AB61" s="162" t="s">
        <v>9</v>
      </c>
      <c r="AC61" s="162" t="s">
        <v>9</v>
      </c>
      <c r="AD61" s="162" t="s">
        <v>9</v>
      </c>
      <c r="AE61" s="162" t="s">
        <v>9</v>
      </c>
      <c r="AF61" s="162" t="s">
        <v>9</v>
      </c>
      <c r="AG61" s="162" t="s">
        <v>9</v>
      </c>
      <c r="AH61" s="162" t="s">
        <v>9</v>
      </c>
      <c r="AI61" s="162" t="s">
        <v>9</v>
      </c>
      <c r="AJ61" s="162" t="s">
        <v>9</v>
      </c>
      <c r="AK61" s="162" t="s">
        <v>9</v>
      </c>
      <c r="AL61" s="162" t="s">
        <v>9</v>
      </c>
      <c r="AM61" s="162" t="s">
        <v>9</v>
      </c>
      <c r="AN61" s="162" t="s">
        <v>9</v>
      </c>
      <c r="AO61" s="162" t="s">
        <v>9</v>
      </c>
      <c r="AP61" s="162" t="s">
        <v>9</v>
      </c>
      <c r="AQ61" s="162" t="s">
        <v>9</v>
      </c>
      <c r="AR61" s="162" t="s">
        <v>9</v>
      </c>
      <c r="AS61" s="162" t="s">
        <v>9</v>
      </c>
      <c r="AT61" s="162" t="s">
        <v>9</v>
      </c>
      <c r="AU61" s="162" t="s">
        <v>9</v>
      </c>
      <c r="AV61" s="162" t="s">
        <v>9</v>
      </c>
      <c r="AW61" s="162" t="s">
        <v>9</v>
      </c>
      <c r="AX61" s="162" t="s">
        <v>9</v>
      </c>
      <c r="AY61" s="162" t="s">
        <v>9</v>
      </c>
      <c r="AZ61" s="162" t="s">
        <v>9</v>
      </c>
      <c r="BA61" s="162" t="s">
        <v>9</v>
      </c>
      <c r="BB61" s="162" t="s">
        <v>9</v>
      </c>
      <c r="BC61" s="162" t="s">
        <v>9</v>
      </c>
      <c r="BD61" s="162" t="s">
        <v>9</v>
      </c>
      <c r="BE61" s="162" t="s">
        <v>9</v>
      </c>
      <c r="BF61" s="162" t="s">
        <v>9</v>
      </c>
      <c r="BG61" s="162" t="s">
        <v>9</v>
      </c>
      <c r="BH61" s="162" t="s">
        <v>9</v>
      </c>
      <c r="BI61" s="162" t="s">
        <v>9</v>
      </c>
      <c r="BJ61" s="162" t="s">
        <v>9</v>
      </c>
      <c r="BK61" s="194"/>
    </row>
    <row r="62" spans="1:63">
      <c r="A62" s="145" t="s">
        <v>335</v>
      </c>
      <c r="B62" s="146" t="s">
        <v>607</v>
      </c>
      <c r="C62" s="146" t="str">
        <f>IF(COUNTIF(Measure_62443_2_1[[#This Row],[G 0.13 Interception of Compromising Interference Signals]:[OPS.1.1.3.8 Manipulation of data and tools during patch and change management]],"X")&gt;0,"X","")</f>
        <v/>
      </c>
      <c r="D62" s="162" t="s">
        <v>9</v>
      </c>
      <c r="E62" s="162" t="s">
        <v>9</v>
      </c>
      <c r="F62" s="162" t="s">
        <v>9</v>
      </c>
      <c r="G62" s="162" t="s">
        <v>9</v>
      </c>
      <c r="H62" s="162" t="s">
        <v>9</v>
      </c>
      <c r="I62" s="162" t="s">
        <v>9</v>
      </c>
      <c r="J62" s="162" t="s">
        <v>9</v>
      </c>
      <c r="K62" s="162" t="s">
        <v>9</v>
      </c>
      <c r="L62" s="162" t="s">
        <v>9</v>
      </c>
      <c r="M62" s="162" t="s">
        <v>9</v>
      </c>
      <c r="N62" s="162" t="s">
        <v>9</v>
      </c>
      <c r="O62" s="162" t="s">
        <v>9</v>
      </c>
      <c r="P62" s="162" t="s">
        <v>9</v>
      </c>
      <c r="Q62" s="162" t="s">
        <v>9</v>
      </c>
      <c r="R62" s="162" t="s">
        <v>9</v>
      </c>
      <c r="S62" s="162" t="s">
        <v>9</v>
      </c>
      <c r="T62" s="162" t="s">
        <v>9</v>
      </c>
      <c r="U62" s="162" t="s">
        <v>9</v>
      </c>
      <c r="V62" s="162" t="s">
        <v>9</v>
      </c>
      <c r="W62" s="162" t="s">
        <v>9</v>
      </c>
      <c r="X62" s="162" t="s">
        <v>9</v>
      </c>
      <c r="Y62" s="162" t="s">
        <v>9</v>
      </c>
      <c r="Z62" s="162" t="s">
        <v>9</v>
      </c>
      <c r="AA62" s="162" t="s">
        <v>9</v>
      </c>
      <c r="AB62" s="162" t="s">
        <v>9</v>
      </c>
      <c r="AC62" s="162" t="s">
        <v>9</v>
      </c>
      <c r="AD62" s="162" t="s">
        <v>9</v>
      </c>
      <c r="AE62" s="162" t="s">
        <v>9</v>
      </c>
      <c r="AF62" s="162" t="s">
        <v>9</v>
      </c>
      <c r="AG62" s="162" t="s">
        <v>9</v>
      </c>
      <c r="AH62" s="162" t="s">
        <v>9</v>
      </c>
      <c r="AI62" s="162" t="s">
        <v>9</v>
      </c>
      <c r="AJ62" s="162" t="s">
        <v>9</v>
      </c>
      <c r="AK62" s="162" t="s">
        <v>9</v>
      </c>
      <c r="AL62" s="162" t="s">
        <v>9</v>
      </c>
      <c r="AM62" s="162" t="s">
        <v>9</v>
      </c>
      <c r="AN62" s="162" t="s">
        <v>9</v>
      </c>
      <c r="AO62" s="162" t="s">
        <v>9</v>
      </c>
      <c r="AP62" s="162" t="s">
        <v>9</v>
      </c>
      <c r="AQ62" s="162" t="s">
        <v>9</v>
      </c>
      <c r="AR62" s="162" t="s">
        <v>9</v>
      </c>
      <c r="AS62" s="162" t="s">
        <v>9</v>
      </c>
      <c r="AT62" s="162" t="s">
        <v>9</v>
      </c>
      <c r="AU62" s="162" t="s">
        <v>9</v>
      </c>
      <c r="AV62" s="162" t="s">
        <v>9</v>
      </c>
      <c r="AW62" s="162" t="s">
        <v>9</v>
      </c>
      <c r="AX62" s="162" t="s">
        <v>9</v>
      </c>
      <c r="AY62" s="162" t="s">
        <v>9</v>
      </c>
      <c r="AZ62" s="162" t="s">
        <v>9</v>
      </c>
      <c r="BA62" s="162" t="s">
        <v>9</v>
      </c>
      <c r="BB62" s="162" t="s">
        <v>9</v>
      </c>
      <c r="BC62" s="162" t="s">
        <v>9</v>
      </c>
      <c r="BD62" s="162" t="s">
        <v>9</v>
      </c>
      <c r="BE62" s="162" t="s">
        <v>9</v>
      </c>
      <c r="BF62" s="162" t="s">
        <v>9</v>
      </c>
      <c r="BG62" s="162" t="s">
        <v>9</v>
      </c>
      <c r="BH62" s="162" t="s">
        <v>9</v>
      </c>
      <c r="BI62" s="162" t="s">
        <v>9</v>
      </c>
      <c r="BJ62" s="162" t="s">
        <v>9</v>
      </c>
      <c r="BK62" s="194"/>
    </row>
    <row r="63" spans="1:63">
      <c r="A63" s="145" t="s">
        <v>336</v>
      </c>
      <c r="B63" s="146" t="s">
        <v>607</v>
      </c>
      <c r="C63" s="146" t="str">
        <f>IF(COUNTIF(Measure_62443_2_1[[#This Row],[G 0.13 Interception of Compromising Interference Signals]:[OPS.1.1.3.8 Manipulation of data and tools during patch and change management]],"X")&gt;0,"X","")</f>
        <v/>
      </c>
      <c r="D63" s="162" t="s">
        <v>9</v>
      </c>
      <c r="E63" s="162" t="s">
        <v>9</v>
      </c>
      <c r="F63" s="162" t="s">
        <v>9</v>
      </c>
      <c r="G63" s="162" t="s">
        <v>9</v>
      </c>
      <c r="H63" s="162" t="s">
        <v>9</v>
      </c>
      <c r="I63" s="162" t="s">
        <v>9</v>
      </c>
      <c r="J63" s="162" t="s">
        <v>9</v>
      </c>
      <c r="K63" s="162" t="s">
        <v>9</v>
      </c>
      <c r="L63" s="162" t="s">
        <v>9</v>
      </c>
      <c r="M63" s="162" t="s">
        <v>9</v>
      </c>
      <c r="N63" s="162" t="s">
        <v>9</v>
      </c>
      <c r="O63" s="162" t="s">
        <v>9</v>
      </c>
      <c r="P63" s="162" t="s">
        <v>9</v>
      </c>
      <c r="Q63" s="162" t="s">
        <v>9</v>
      </c>
      <c r="R63" s="162" t="s">
        <v>9</v>
      </c>
      <c r="S63" s="162" t="s">
        <v>9</v>
      </c>
      <c r="T63" s="162" t="s">
        <v>9</v>
      </c>
      <c r="U63" s="162" t="s">
        <v>9</v>
      </c>
      <c r="V63" s="162" t="s">
        <v>9</v>
      </c>
      <c r="W63" s="162" t="s">
        <v>9</v>
      </c>
      <c r="X63" s="162" t="s">
        <v>9</v>
      </c>
      <c r="Y63" s="162" t="s">
        <v>9</v>
      </c>
      <c r="Z63" s="162" t="s">
        <v>9</v>
      </c>
      <c r="AA63" s="162" t="s">
        <v>9</v>
      </c>
      <c r="AB63" s="162" t="s">
        <v>9</v>
      </c>
      <c r="AC63" s="162" t="s">
        <v>9</v>
      </c>
      <c r="AD63" s="162" t="s">
        <v>9</v>
      </c>
      <c r="AE63" s="162" t="s">
        <v>9</v>
      </c>
      <c r="AF63" s="162" t="s">
        <v>9</v>
      </c>
      <c r="AG63" s="162" t="s">
        <v>9</v>
      </c>
      <c r="AH63" s="162" t="s">
        <v>9</v>
      </c>
      <c r="AI63" s="162" t="s">
        <v>9</v>
      </c>
      <c r="AJ63" s="162" t="s">
        <v>9</v>
      </c>
      <c r="AK63" s="162" t="s">
        <v>9</v>
      </c>
      <c r="AL63" s="162" t="s">
        <v>9</v>
      </c>
      <c r="AM63" s="162" t="s">
        <v>9</v>
      </c>
      <c r="AN63" s="162" t="s">
        <v>9</v>
      </c>
      <c r="AO63" s="162" t="s">
        <v>9</v>
      </c>
      <c r="AP63" s="162" t="s">
        <v>9</v>
      </c>
      <c r="AQ63" s="162" t="s">
        <v>9</v>
      </c>
      <c r="AR63" s="162" t="s">
        <v>9</v>
      </c>
      <c r="AS63" s="162" t="s">
        <v>9</v>
      </c>
      <c r="AT63" s="162" t="s">
        <v>9</v>
      </c>
      <c r="AU63" s="162" t="s">
        <v>9</v>
      </c>
      <c r="AV63" s="162" t="s">
        <v>9</v>
      </c>
      <c r="AW63" s="162" t="s">
        <v>9</v>
      </c>
      <c r="AX63" s="162" t="s">
        <v>9</v>
      </c>
      <c r="AY63" s="162" t="s">
        <v>9</v>
      </c>
      <c r="AZ63" s="162" t="s">
        <v>9</v>
      </c>
      <c r="BA63" s="162" t="s">
        <v>9</v>
      </c>
      <c r="BB63" s="162" t="s">
        <v>9</v>
      </c>
      <c r="BC63" s="162" t="s">
        <v>9</v>
      </c>
      <c r="BD63" s="162" t="s">
        <v>9</v>
      </c>
      <c r="BE63" s="162" t="s">
        <v>9</v>
      </c>
      <c r="BF63" s="162" t="s">
        <v>9</v>
      </c>
      <c r="BG63" s="162" t="s">
        <v>9</v>
      </c>
      <c r="BH63" s="162" t="s">
        <v>9</v>
      </c>
      <c r="BI63" s="162" t="s">
        <v>9</v>
      </c>
      <c r="BJ63" s="162" t="s">
        <v>9</v>
      </c>
      <c r="BK63" s="194"/>
    </row>
    <row r="64" spans="1:63">
      <c r="A64" s="145" t="s">
        <v>337</v>
      </c>
      <c r="B64" s="146" t="s">
        <v>607</v>
      </c>
      <c r="C64" s="146" t="str">
        <f>IF(COUNTIF(Measure_62443_2_1[[#This Row],[G 0.13 Interception of Compromising Interference Signals]:[OPS.1.1.3.8 Manipulation of data and tools during patch and change management]],"X")&gt;0,"X","")</f>
        <v/>
      </c>
      <c r="D64" s="162" t="s">
        <v>9</v>
      </c>
      <c r="E64" s="162" t="s">
        <v>9</v>
      </c>
      <c r="F64" s="162" t="s">
        <v>9</v>
      </c>
      <c r="G64" s="162" t="s">
        <v>9</v>
      </c>
      <c r="H64" s="162" t="s">
        <v>9</v>
      </c>
      <c r="I64" s="162" t="s">
        <v>9</v>
      </c>
      <c r="J64" s="162" t="s">
        <v>9</v>
      </c>
      <c r="K64" s="162" t="s">
        <v>9</v>
      </c>
      <c r="L64" s="162" t="s">
        <v>9</v>
      </c>
      <c r="M64" s="162" t="s">
        <v>9</v>
      </c>
      <c r="N64" s="162" t="s">
        <v>9</v>
      </c>
      <c r="O64" s="162" t="s">
        <v>9</v>
      </c>
      <c r="P64" s="162" t="s">
        <v>9</v>
      </c>
      <c r="Q64" s="162" t="s">
        <v>9</v>
      </c>
      <c r="R64" s="162" t="s">
        <v>9</v>
      </c>
      <c r="S64" s="162" t="s">
        <v>9</v>
      </c>
      <c r="T64" s="162" t="s">
        <v>9</v>
      </c>
      <c r="U64" s="162" t="s">
        <v>9</v>
      </c>
      <c r="V64" s="162" t="s">
        <v>9</v>
      </c>
      <c r="W64" s="162" t="s">
        <v>9</v>
      </c>
      <c r="X64" s="162" t="s">
        <v>9</v>
      </c>
      <c r="Y64" s="162" t="s">
        <v>9</v>
      </c>
      <c r="Z64" s="162" t="s">
        <v>9</v>
      </c>
      <c r="AA64" s="162" t="s">
        <v>9</v>
      </c>
      <c r="AB64" s="162" t="s">
        <v>9</v>
      </c>
      <c r="AC64" s="162" t="s">
        <v>9</v>
      </c>
      <c r="AD64" s="162" t="s">
        <v>9</v>
      </c>
      <c r="AE64" s="162" t="s">
        <v>9</v>
      </c>
      <c r="AF64" s="162" t="s">
        <v>9</v>
      </c>
      <c r="AG64" s="162" t="s">
        <v>9</v>
      </c>
      <c r="AH64" s="162" t="s">
        <v>9</v>
      </c>
      <c r="AI64" s="162" t="s">
        <v>9</v>
      </c>
      <c r="AJ64" s="162" t="s">
        <v>9</v>
      </c>
      <c r="AK64" s="162" t="s">
        <v>9</v>
      </c>
      <c r="AL64" s="162" t="s">
        <v>9</v>
      </c>
      <c r="AM64" s="162" t="s">
        <v>9</v>
      </c>
      <c r="AN64" s="162" t="s">
        <v>9</v>
      </c>
      <c r="AO64" s="162" t="s">
        <v>9</v>
      </c>
      <c r="AP64" s="162" t="s">
        <v>9</v>
      </c>
      <c r="AQ64" s="162" t="s">
        <v>9</v>
      </c>
      <c r="AR64" s="162" t="s">
        <v>9</v>
      </c>
      <c r="AS64" s="162" t="s">
        <v>9</v>
      </c>
      <c r="AT64" s="162" t="s">
        <v>9</v>
      </c>
      <c r="AU64" s="162" t="s">
        <v>9</v>
      </c>
      <c r="AV64" s="162" t="s">
        <v>9</v>
      </c>
      <c r="AW64" s="162" t="s">
        <v>9</v>
      </c>
      <c r="AX64" s="162" t="s">
        <v>9</v>
      </c>
      <c r="AY64" s="162" t="s">
        <v>9</v>
      </c>
      <c r="AZ64" s="162" t="s">
        <v>9</v>
      </c>
      <c r="BA64" s="162" t="s">
        <v>9</v>
      </c>
      <c r="BB64" s="162" t="s">
        <v>9</v>
      </c>
      <c r="BC64" s="162" t="s">
        <v>9</v>
      </c>
      <c r="BD64" s="162" t="s">
        <v>9</v>
      </c>
      <c r="BE64" s="162" t="s">
        <v>9</v>
      </c>
      <c r="BF64" s="162" t="s">
        <v>9</v>
      </c>
      <c r="BG64" s="162" t="s">
        <v>9</v>
      </c>
      <c r="BH64" s="162" t="s">
        <v>9</v>
      </c>
      <c r="BI64" s="162" t="s">
        <v>9</v>
      </c>
      <c r="BJ64" s="162" t="s">
        <v>9</v>
      </c>
      <c r="BK64" s="194"/>
    </row>
    <row r="65" spans="1:63">
      <c r="A65" s="145" t="s">
        <v>338</v>
      </c>
      <c r="B65" s="146" t="s">
        <v>607</v>
      </c>
      <c r="C65" s="146" t="str">
        <f>IF(COUNTIF(Measure_62443_2_1[[#This Row],[G 0.13 Interception of Compromising Interference Signals]:[OPS.1.1.3.8 Manipulation of data and tools during patch and change management]],"X")&gt;0,"X","")</f>
        <v/>
      </c>
      <c r="D65" s="162" t="s">
        <v>9</v>
      </c>
      <c r="E65" s="162" t="s">
        <v>9</v>
      </c>
      <c r="F65" s="162" t="s">
        <v>9</v>
      </c>
      <c r="G65" s="162" t="s">
        <v>9</v>
      </c>
      <c r="H65" s="162" t="s">
        <v>9</v>
      </c>
      <c r="I65" s="162" t="s">
        <v>9</v>
      </c>
      <c r="J65" s="162" t="s">
        <v>9</v>
      </c>
      <c r="K65" s="162" t="s">
        <v>9</v>
      </c>
      <c r="L65" s="162" t="s">
        <v>9</v>
      </c>
      <c r="M65" s="162" t="s">
        <v>9</v>
      </c>
      <c r="N65" s="162" t="s">
        <v>9</v>
      </c>
      <c r="O65" s="162" t="s">
        <v>9</v>
      </c>
      <c r="P65" s="162" t="s">
        <v>9</v>
      </c>
      <c r="Q65" s="162" t="s">
        <v>9</v>
      </c>
      <c r="R65" s="162" t="s">
        <v>9</v>
      </c>
      <c r="S65" s="162" t="s">
        <v>9</v>
      </c>
      <c r="T65" s="162" t="s">
        <v>9</v>
      </c>
      <c r="U65" s="162" t="s">
        <v>9</v>
      </c>
      <c r="V65" s="162" t="s">
        <v>9</v>
      </c>
      <c r="W65" s="162" t="s">
        <v>9</v>
      </c>
      <c r="X65" s="162" t="s">
        <v>9</v>
      </c>
      <c r="Y65" s="162" t="s">
        <v>9</v>
      </c>
      <c r="Z65" s="162" t="s">
        <v>9</v>
      </c>
      <c r="AA65" s="162" t="s">
        <v>9</v>
      </c>
      <c r="AB65" s="162" t="s">
        <v>9</v>
      </c>
      <c r="AC65" s="162" t="s">
        <v>9</v>
      </c>
      <c r="AD65" s="162" t="s">
        <v>9</v>
      </c>
      <c r="AE65" s="162" t="s">
        <v>9</v>
      </c>
      <c r="AF65" s="162" t="s">
        <v>9</v>
      </c>
      <c r="AG65" s="162" t="s">
        <v>9</v>
      </c>
      <c r="AH65" s="162" t="s">
        <v>9</v>
      </c>
      <c r="AI65" s="162" t="s">
        <v>9</v>
      </c>
      <c r="AJ65" s="162" t="s">
        <v>9</v>
      </c>
      <c r="AK65" s="162" t="s">
        <v>9</v>
      </c>
      <c r="AL65" s="162" t="s">
        <v>9</v>
      </c>
      <c r="AM65" s="162" t="s">
        <v>9</v>
      </c>
      <c r="AN65" s="162" t="s">
        <v>9</v>
      </c>
      <c r="AO65" s="162" t="s">
        <v>9</v>
      </c>
      <c r="AP65" s="162" t="s">
        <v>9</v>
      </c>
      <c r="AQ65" s="162" t="s">
        <v>9</v>
      </c>
      <c r="AR65" s="162" t="s">
        <v>9</v>
      </c>
      <c r="AS65" s="162" t="s">
        <v>9</v>
      </c>
      <c r="AT65" s="162" t="s">
        <v>9</v>
      </c>
      <c r="AU65" s="162" t="s">
        <v>9</v>
      </c>
      <c r="AV65" s="162" t="s">
        <v>9</v>
      </c>
      <c r="AW65" s="162" t="s">
        <v>9</v>
      </c>
      <c r="AX65" s="162" t="s">
        <v>9</v>
      </c>
      <c r="AY65" s="162" t="s">
        <v>9</v>
      </c>
      <c r="AZ65" s="162" t="s">
        <v>9</v>
      </c>
      <c r="BA65" s="162" t="s">
        <v>9</v>
      </c>
      <c r="BB65" s="162" t="s">
        <v>9</v>
      </c>
      <c r="BC65" s="162" t="s">
        <v>9</v>
      </c>
      <c r="BD65" s="162" t="s">
        <v>9</v>
      </c>
      <c r="BE65" s="162" t="s">
        <v>9</v>
      </c>
      <c r="BF65" s="162" t="s">
        <v>9</v>
      </c>
      <c r="BG65" s="162" t="s">
        <v>9</v>
      </c>
      <c r="BH65" s="162" t="s">
        <v>9</v>
      </c>
      <c r="BI65" s="162" t="s">
        <v>9</v>
      </c>
      <c r="BJ65" s="162" t="s">
        <v>9</v>
      </c>
      <c r="BK65" s="194"/>
    </row>
    <row r="66" spans="1:63">
      <c r="A66" s="145" t="s">
        <v>339</v>
      </c>
      <c r="B66" s="146" t="s">
        <v>607</v>
      </c>
      <c r="C66" s="146" t="str">
        <f>IF(COUNTIF(Measure_62443_2_1[[#This Row],[G 0.13 Interception of Compromising Interference Signals]:[OPS.1.1.3.8 Manipulation of data and tools during patch and change management]],"X")&gt;0,"X","")</f>
        <v/>
      </c>
      <c r="D66" s="162" t="s">
        <v>9</v>
      </c>
      <c r="E66" s="162" t="s">
        <v>9</v>
      </c>
      <c r="F66" s="162" t="s">
        <v>9</v>
      </c>
      <c r="G66" s="162" t="s">
        <v>9</v>
      </c>
      <c r="H66" s="162" t="s">
        <v>9</v>
      </c>
      <c r="I66" s="162" t="s">
        <v>9</v>
      </c>
      <c r="J66" s="162" t="s">
        <v>9</v>
      </c>
      <c r="K66" s="162" t="s">
        <v>9</v>
      </c>
      <c r="L66" s="162" t="s">
        <v>9</v>
      </c>
      <c r="M66" s="162" t="s">
        <v>9</v>
      </c>
      <c r="N66" s="162" t="s">
        <v>9</v>
      </c>
      <c r="O66" s="162" t="s">
        <v>9</v>
      </c>
      <c r="P66" s="162" t="s">
        <v>9</v>
      </c>
      <c r="Q66" s="162" t="s">
        <v>9</v>
      </c>
      <c r="R66" s="162" t="s">
        <v>9</v>
      </c>
      <c r="S66" s="162" t="s">
        <v>9</v>
      </c>
      <c r="T66" s="162" t="s">
        <v>9</v>
      </c>
      <c r="U66" s="162" t="s">
        <v>9</v>
      </c>
      <c r="V66" s="162" t="s">
        <v>9</v>
      </c>
      <c r="W66" s="162" t="s">
        <v>9</v>
      </c>
      <c r="X66" s="162" t="s">
        <v>9</v>
      </c>
      <c r="Y66" s="162" t="s">
        <v>9</v>
      </c>
      <c r="Z66" s="162" t="s">
        <v>9</v>
      </c>
      <c r="AA66" s="162" t="s">
        <v>9</v>
      </c>
      <c r="AB66" s="162" t="s">
        <v>9</v>
      </c>
      <c r="AC66" s="162" t="s">
        <v>9</v>
      </c>
      <c r="AD66" s="162" t="s">
        <v>9</v>
      </c>
      <c r="AE66" s="162" t="s">
        <v>9</v>
      </c>
      <c r="AF66" s="162" t="s">
        <v>9</v>
      </c>
      <c r="AG66" s="162" t="s">
        <v>9</v>
      </c>
      <c r="AH66" s="162" t="s">
        <v>9</v>
      </c>
      <c r="AI66" s="162" t="s">
        <v>9</v>
      </c>
      <c r="AJ66" s="162" t="s">
        <v>9</v>
      </c>
      <c r="AK66" s="162" t="s">
        <v>9</v>
      </c>
      <c r="AL66" s="162" t="s">
        <v>9</v>
      </c>
      <c r="AM66" s="162" t="s">
        <v>9</v>
      </c>
      <c r="AN66" s="162" t="s">
        <v>9</v>
      </c>
      <c r="AO66" s="162" t="s">
        <v>9</v>
      </c>
      <c r="AP66" s="162" t="s">
        <v>9</v>
      </c>
      <c r="AQ66" s="162" t="s">
        <v>9</v>
      </c>
      <c r="AR66" s="162" t="s">
        <v>9</v>
      </c>
      <c r="AS66" s="162" t="s">
        <v>9</v>
      </c>
      <c r="AT66" s="162" t="s">
        <v>9</v>
      </c>
      <c r="AU66" s="162" t="s">
        <v>9</v>
      </c>
      <c r="AV66" s="162" t="s">
        <v>9</v>
      </c>
      <c r="AW66" s="162" t="s">
        <v>9</v>
      </c>
      <c r="AX66" s="162" t="s">
        <v>9</v>
      </c>
      <c r="AY66" s="162" t="s">
        <v>9</v>
      </c>
      <c r="AZ66" s="162" t="s">
        <v>9</v>
      </c>
      <c r="BA66" s="162" t="s">
        <v>9</v>
      </c>
      <c r="BB66" s="162" t="s">
        <v>9</v>
      </c>
      <c r="BC66" s="162" t="s">
        <v>9</v>
      </c>
      <c r="BD66" s="162" t="s">
        <v>9</v>
      </c>
      <c r="BE66" s="162" t="s">
        <v>9</v>
      </c>
      <c r="BF66" s="162" t="s">
        <v>9</v>
      </c>
      <c r="BG66" s="162" t="s">
        <v>9</v>
      </c>
      <c r="BH66" s="162" t="s">
        <v>9</v>
      </c>
      <c r="BI66" s="162" t="s">
        <v>9</v>
      </c>
      <c r="BJ66" s="162" t="s">
        <v>9</v>
      </c>
      <c r="BK66" s="194"/>
    </row>
    <row r="67" spans="1:63">
      <c r="A67" s="145" t="s">
        <v>340</v>
      </c>
      <c r="B67" s="146" t="s">
        <v>607</v>
      </c>
      <c r="C67" s="146" t="str">
        <f>IF(COUNTIF(Measure_62443_2_1[[#This Row],[G 0.13 Interception of Compromising Interference Signals]:[OPS.1.1.3.8 Manipulation of data and tools during patch and change management]],"X")&gt;0,"X","")</f>
        <v/>
      </c>
      <c r="D67" s="162" t="s">
        <v>9</v>
      </c>
      <c r="E67" s="162" t="s">
        <v>9</v>
      </c>
      <c r="F67" s="162" t="s">
        <v>9</v>
      </c>
      <c r="G67" s="162" t="s">
        <v>9</v>
      </c>
      <c r="H67" s="162" t="s">
        <v>9</v>
      </c>
      <c r="I67" s="162" t="s">
        <v>9</v>
      </c>
      <c r="J67" s="162" t="s">
        <v>9</v>
      </c>
      <c r="K67" s="162" t="s">
        <v>9</v>
      </c>
      <c r="L67" s="162" t="s">
        <v>9</v>
      </c>
      <c r="M67" s="162" t="s">
        <v>9</v>
      </c>
      <c r="N67" s="162" t="s">
        <v>9</v>
      </c>
      <c r="O67" s="162" t="s">
        <v>9</v>
      </c>
      <c r="P67" s="162" t="s">
        <v>9</v>
      </c>
      <c r="Q67" s="162" t="s">
        <v>9</v>
      </c>
      <c r="R67" s="162" t="s">
        <v>9</v>
      </c>
      <c r="S67" s="162" t="s">
        <v>9</v>
      </c>
      <c r="T67" s="162" t="s">
        <v>9</v>
      </c>
      <c r="U67" s="162" t="s">
        <v>9</v>
      </c>
      <c r="V67" s="162" t="s">
        <v>9</v>
      </c>
      <c r="W67" s="162" t="s">
        <v>9</v>
      </c>
      <c r="X67" s="162" t="s">
        <v>9</v>
      </c>
      <c r="Y67" s="162" t="s">
        <v>9</v>
      </c>
      <c r="Z67" s="162" t="s">
        <v>9</v>
      </c>
      <c r="AA67" s="162" t="s">
        <v>9</v>
      </c>
      <c r="AB67" s="162" t="s">
        <v>9</v>
      </c>
      <c r="AC67" s="162" t="s">
        <v>9</v>
      </c>
      <c r="AD67" s="162" t="s">
        <v>9</v>
      </c>
      <c r="AE67" s="162" t="s">
        <v>9</v>
      </c>
      <c r="AF67" s="162" t="s">
        <v>9</v>
      </c>
      <c r="AG67" s="162" t="s">
        <v>9</v>
      </c>
      <c r="AH67" s="162" t="s">
        <v>9</v>
      </c>
      <c r="AI67" s="162" t="s">
        <v>9</v>
      </c>
      <c r="AJ67" s="162" t="s">
        <v>9</v>
      </c>
      <c r="AK67" s="162" t="s">
        <v>9</v>
      </c>
      <c r="AL67" s="162" t="s">
        <v>9</v>
      </c>
      <c r="AM67" s="162" t="s">
        <v>9</v>
      </c>
      <c r="AN67" s="162" t="s">
        <v>9</v>
      </c>
      <c r="AO67" s="162" t="s">
        <v>9</v>
      </c>
      <c r="AP67" s="162" t="s">
        <v>9</v>
      </c>
      <c r="AQ67" s="162" t="s">
        <v>9</v>
      </c>
      <c r="AR67" s="162" t="s">
        <v>9</v>
      </c>
      <c r="AS67" s="162" t="s">
        <v>9</v>
      </c>
      <c r="AT67" s="162" t="s">
        <v>9</v>
      </c>
      <c r="AU67" s="162" t="s">
        <v>9</v>
      </c>
      <c r="AV67" s="162" t="s">
        <v>9</v>
      </c>
      <c r="AW67" s="162" t="s">
        <v>9</v>
      </c>
      <c r="AX67" s="162" t="s">
        <v>9</v>
      </c>
      <c r="AY67" s="162" t="s">
        <v>9</v>
      </c>
      <c r="AZ67" s="162" t="s">
        <v>9</v>
      </c>
      <c r="BA67" s="162" t="s">
        <v>9</v>
      </c>
      <c r="BB67" s="162" t="s">
        <v>9</v>
      </c>
      <c r="BC67" s="162" t="s">
        <v>9</v>
      </c>
      <c r="BD67" s="162" t="s">
        <v>9</v>
      </c>
      <c r="BE67" s="162" t="s">
        <v>9</v>
      </c>
      <c r="BF67" s="162" t="s">
        <v>9</v>
      </c>
      <c r="BG67" s="162" t="s">
        <v>9</v>
      </c>
      <c r="BH67" s="162" t="s">
        <v>9</v>
      </c>
      <c r="BI67" s="162" t="s">
        <v>9</v>
      </c>
      <c r="BJ67" s="162" t="s">
        <v>9</v>
      </c>
      <c r="BK67" s="194"/>
    </row>
    <row r="68" spans="1:63">
      <c r="A68" s="145" t="s">
        <v>341</v>
      </c>
      <c r="B68" s="146" t="s">
        <v>607</v>
      </c>
      <c r="C68" s="146" t="str">
        <f>IF(COUNTIF(Measure_62443_2_1[[#This Row],[G 0.13 Interception of Compromising Interference Signals]:[OPS.1.1.3.8 Manipulation of data and tools during patch and change management]],"X")&gt;0,"X","")</f>
        <v/>
      </c>
      <c r="D68" s="162" t="s">
        <v>9</v>
      </c>
      <c r="E68" s="162" t="s">
        <v>9</v>
      </c>
      <c r="F68" s="162" t="s">
        <v>9</v>
      </c>
      <c r="G68" s="162" t="s">
        <v>9</v>
      </c>
      <c r="H68" s="162" t="s">
        <v>9</v>
      </c>
      <c r="I68" s="162" t="s">
        <v>9</v>
      </c>
      <c r="J68" s="162" t="s">
        <v>9</v>
      </c>
      <c r="K68" s="162" t="s">
        <v>9</v>
      </c>
      <c r="L68" s="162" t="s">
        <v>9</v>
      </c>
      <c r="M68" s="162" t="s">
        <v>9</v>
      </c>
      <c r="N68" s="162" t="s">
        <v>9</v>
      </c>
      <c r="O68" s="162" t="s">
        <v>9</v>
      </c>
      <c r="P68" s="162" t="s">
        <v>9</v>
      </c>
      <c r="Q68" s="162" t="s">
        <v>9</v>
      </c>
      <c r="R68" s="162" t="s">
        <v>9</v>
      </c>
      <c r="S68" s="162" t="s">
        <v>9</v>
      </c>
      <c r="T68" s="162" t="s">
        <v>9</v>
      </c>
      <c r="U68" s="162" t="s">
        <v>9</v>
      </c>
      <c r="V68" s="162" t="s">
        <v>9</v>
      </c>
      <c r="W68" s="162" t="s">
        <v>9</v>
      </c>
      <c r="X68" s="162" t="s">
        <v>9</v>
      </c>
      <c r="Y68" s="162" t="s">
        <v>9</v>
      </c>
      <c r="Z68" s="162" t="s">
        <v>9</v>
      </c>
      <c r="AA68" s="162" t="s">
        <v>9</v>
      </c>
      <c r="AB68" s="162" t="s">
        <v>9</v>
      </c>
      <c r="AC68" s="162" t="s">
        <v>9</v>
      </c>
      <c r="AD68" s="162" t="s">
        <v>9</v>
      </c>
      <c r="AE68" s="162" t="s">
        <v>9</v>
      </c>
      <c r="AF68" s="162" t="s">
        <v>9</v>
      </c>
      <c r="AG68" s="162" t="s">
        <v>9</v>
      </c>
      <c r="AH68" s="162" t="s">
        <v>9</v>
      </c>
      <c r="AI68" s="162" t="s">
        <v>9</v>
      </c>
      <c r="AJ68" s="162" t="s">
        <v>9</v>
      </c>
      <c r="AK68" s="162" t="s">
        <v>9</v>
      </c>
      <c r="AL68" s="162" t="s">
        <v>9</v>
      </c>
      <c r="AM68" s="162" t="s">
        <v>9</v>
      </c>
      <c r="AN68" s="162" t="s">
        <v>9</v>
      </c>
      <c r="AO68" s="162" t="s">
        <v>9</v>
      </c>
      <c r="AP68" s="162" t="s">
        <v>9</v>
      </c>
      <c r="AQ68" s="162" t="s">
        <v>9</v>
      </c>
      <c r="AR68" s="162" t="s">
        <v>9</v>
      </c>
      <c r="AS68" s="162" t="s">
        <v>9</v>
      </c>
      <c r="AT68" s="162" t="s">
        <v>9</v>
      </c>
      <c r="AU68" s="162" t="s">
        <v>9</v>
      </c>
      <c r="AV68" s="162" t="s">
        <v>9</v>
      </c>
      <c r="AW68" s="162" t="s">
        <v>9</v>
      </c>
      <c r="AX68" s="162" t="s">
        <v>9</v>
      </c>
      <c r="AY68" s="162" t="s">
        <v>9</v>
      </c>
      <c r="AZ68" s="162" t="s">
        <v>9</v>
      </c>
      <c r="BA68" s="162" t="s">
        <v>9</v>
      </c>
      <c r="BB68" s="162" t="s">
        <v>9</v>
      </c>
      <c r="BC68" s="162" t="s">
        <v>9</v>
      </c>
      <c r="BD68" s="162" t="s">
        <v>9</v>
      </c>
      <c r="BE68" s="162" t="s">
        <v>9</v>
      </c>
      <c r="BF68" s="162" t="s">
        <v>9</v>
      </c>
      <c r="BG68" s="162" t="s">
        <v>9</v>
      </c>
      <c r="BH68" s="162" t="s">
        <v>9</v>
      </c>
      <c r="BI68" s="162" t="s">
        <v>9</v>
      </c>
      <c r="BJ68" s="162" t="s">
        <v>9</v>
      </c>
      <c r="BK68" s="194"/>
    </row>
    <row r="69" spans="1:63">
      <c r="A69" s="145" t="s">
        <v>342</v>
      </c>
      <c r="B69" s="146" t="s">
        <v>607</v>
      </c>
      <c r="C69" s="146" t="str">
        <f>IF(COUNTIF(Measure_62443_2_1[[#This Row],[G 0.13 Interception of Compromising Interference Signals]:[OPS.1.1.3.8 Manipulation of data and tools during patch and change management]],"X")&gt;0,"X","")</f>
        <v/>
      </c>
      <c r="D69" s="162" t="s">
        <v>9</v>
      </c>
      <c r="E69" s="162" t="s">
        <v>9</v>
      </c>
      <c r="F69" s="162" t="s">
        <v>9</v>
      </c>
      <c r="G69" s="162" t="s">
        <v>9</v>
      </c>
      <c r="H69" s="162" t="s">
        <v>9</v>
      </c>
      <c r="I69" s="162" t="s">
        <v>9</v>
      </c>
      <c r="J69" s="162" t="s">
        <v>9</v>
      </c>
      <c r="K69" s="162" t="s">
        <v>9</v>
      </c>
      <c r="L69" s="162" t="s">
        <v>9</v>
      </c>
      <c r="M69" s="162" t="s">
        <v>9</v>
      </c>
      <c r="N69" s="162" t="s">
        <v>9</v>
      </c>
      <c r="O69" s="162" t="s">
        <v>9</v>
      </c>
      <c r="P69" s="162" t="s">
        <v>9</v>
      </c>
      <c r="Q69" s="162" t="s">
        <v>9</v>
      </c>
      <c r="R69" s="162" t="s">
        <v>9</v>
      </c>
      <c r="S69" s="162" t="s">
        <v>9</v>
      </c>
      <c r="T69" s="162" t="s">
        <v>9</v>
      </c>
      <c r="U69" s="162" t="s">
        <v>9</v>
      </c>
      <c r="V69" s="162" t="s">
        <v>9</v>
      </c>
      <c r="W69" s="162" t="s">
        <v>9</v>
      </c>
      <c r="X69" s="162" t="s">
        <v>9</v>
      </c>
      <c r="Y69" s="162" t="s">
        <v>9</v>
      </c>
      <c r="Z69" s="162" t="s">
        <v>9</v>
      </c>
      <c r="AA69" s="162" t="s">
        <v>9</v>
      </c>
      <c r="AB69" s="162" t="s">
        <v>9</v>
      </c>
      <c r="AC69" s="162" t="s">
        <v>9</v>
      </c>
      <c r="AD69" s="162" t="s">
        <v>9</v>
      </c>
      <c r="AE69" s="162" t="s">
        <v>9</v>
      </c>
      <c r="AF69" s="162" t="s">
        <v>9</v>
      </c>
      <c r="AG69" s="162" t="s">
        <v>9</v>
      </c>
      <c r="AH69" s="162" t="s">
        <v>9</v>
      </c>
      <c r="AI69" s="162" t="s">
        <v>9</v>
      </c>
      <c r="AJ69" s="162" t="s">
        <v>9</v>
      </c>
      <c r="AK69" s="162" t="s">
        <v>9</v>
      </c>
      <c r="AL69" s="162" t="s">
        <v>9</v>
      </c>
      <c r="AM69" s="162" t="s">
        <v>9</v>
      </c>
      <c r="AN69" s="162" t="s">
        <v>9</v>
      </c>
      <c r="AO69" s="162" t="s">
        <v>9</v>
      </c>
      <c r="AP69" s="162" t="s">
        <v>9</v>
      </c>
      <c r="AQ69" s="162" t="s">
        <v>9</v>
      </c>
      <c r="AR69" s="162" t="s">
        <v>9</v>
      </c>
      <c r="AS69" s="162" t="s">
        <v>9</v>
      </c>
      <c r="AT69" s="162" t="s">
        <v>9</v>
      </c>
      <c r="AU69" s="162" t="s">
        <v>9</v>
      </c>
      <c r="AV69" s="162" t="s">
        <v>9</v>
      </c>
      <c r="AW69" s="162" t="s">
        <v>9</v>
      </c>
      <c r="AX69" s="162" t="s">
        <v>9</v>
      </c>
      <c r="AY69" s="162" t="s">
        <v>9</v>
      </c>
      <c r="AZ69" s="162" t="s">
        <v>9</v>
      </c>
      <c r="BA69" s="162" t="s">
        <v>9</v>
      </c>
      <c r="BB69" s="162" t="s">
        <v>9</v>
      </c>
      <c r="BC69" s="162" t="s">
        <v>9</v>
      </c>
      <c r="BD69" s="162" t="s">
        <v>9</v>
      </c>
      <c r="BE69" s="162" t="s">
        <v>9</v>
      </c>
      <c r="BF69" s="162" t="s">
        <v>9</v>
      </c>
      <c r="BG69" s="162" t="s">
        <v>9</v>
      </c>
      <c r="BH69" s="162" t="s">
        <v>9</v>
      </c>
      <c r="BI69" s="162" t="s">
        <v>9</v>
      </c>
      <c r="BJ69" s="162" t="s">
        <v>9</v>
      </c>
      <c r="BK69" s="194"/>
    </row>
    <row r="70" spans="1:63">
      <c r="A70" s="145" t="s">
        <v>343</v>
      </c>
      <c r="B70" s="146" t="s">
        <v>607</v>
      </c>
      <c r="C70" s="146" t="str">
        <f>IF(COUNTIF(Measure_62443_2_1[[#This Row],[G 0.13 Interception of Compromising Interference Signals]:[OPS.1.1.3.8 Manipulation of data and tools during patch and change management]],"X")&gt;0,"X","")</f>
        <v/>
      </c>
      <c r="D70" s="162" t="s">
        <v>9</v>
      </c>
      <c r="E70" s="162" t="s">
        <v>9</v>
      </c>
      <c r="F70" s="162" t="s">
        <v>9</v>
      </c>
      <c r="G70" s="162" t="s">
        <v>9</v>
      </c>
      <c r="H70" s="162" t="s">
        <v>9</v>
      </c>
      <c r="I70" s="162" t="s">
        <v>9</v>
      </c>
      <c r="J70" s="162" t="s">
        <v>9</v>
      </c>
      <c r="K70" s="162" t="s">
        <v>9</v>
      </c>
      <c r="L70" s="162" t="s">
        <v>9</v>
      </c>
      <c r="M70" s="162" t="s">
        <v>9</v>
      </c>
      <c r="N70" s="162" t="s">
        <v>9</v>
      </c>
      <c r="O70" s="162" t="s">
        <v>9</v>
      </c>
      <c r="P70" s="162" t="s">
        <v>9</v>
      </c>
      <c r="Q70" s="162" t="s">
        <v>9</v>
      </c>
      <c r="R70" s="162" t="s">
        <v>9</v>
      </c>
      <c r="S70" s="162" t="s">
        <v>9</v>
      </c>
      <c r="T70" s="162" t="s">
        <v>9</v>
      </c>
      <c r="U70" s="162" t="s">
        <v>9</v>
      </c>
      <c r="V70" s="162" t="s">
        <v>9</v>
      </c>
      <c r="W70" s="162" t="s">
        <v>9</v>
      </c>
      <c r="X70" s="162" t="s">
        <v>9</v>
      </c>
      <c r="Y70" s="162" t="s">
        <v>9</v>
      </c>
      <c r="Z70" s="162" t="s">
        <v>9</v>
      </c>
      <c r="AA70" s="162" t="s">
        <v>9</v>
      </c>
      <c r="AB70" s="162" t="s">
        <v>9</v>
      </c>
      <c r="AC70" s="162" t="s">
        <v>9</v>
      </c>
      <c r="AD70" s="162" t="s">
        <v>9</v>
      </c>
      <c r="AE70" s="162" t="s">
        <v>9</v>
      </c>
      <c r="AF70" s="162" t="s">
        <v>9</v>
      </c>
      <c r="AG70" s="162" t="s">
        <v>9</v>
      </c>
      <c r="AH70" s="162" t="s">
        <v>9</v>
      </c>
      <c r="AI70" s="162" t="s">
        <v>9</v>
      </c>
      <c r="AJ70" s="162" t="s">
        <v>9</v>
      </c>
      <c r="AK70" s="162" t="s">
        <v>9</v>
      </c>
      <c r="AL70" s="162" t="s">
        <v>9</v>
      </c>
      <c r="AM70" s="162" t="s">
        <v>9</v>
      </c>
      <c r="AN70" s="162" t="s">
        <v>9</v>
      </c>
      <c r="AO70" s="162" t="s">
        <v>9</v>
      </c>
      <c r="AP70" s="162" t="s">
        <v>9</v>
      </c>
      <c r="AQ70" s="162" t="s">
        <v>9</v>
      </c>
      <c r="AR70" s="162" t="s">
        <v>9</v>
      </c>
      <c r="AS70" s="162" t="s">
        <v>9</v>
      </c>
      <c r="AT70" s="162" t="s">
        <v>9</v>
      </c>
      <c r="AU70" s="162" t="s">
        <v>9</v>
      </c>
      <c r="AV70" s="162" t="s">
        <v>9</v>
      </c>
      <c r="AW70" s="162" t="s">
        <v>9</v>
      </c>
      <c r="AX70" s="162" t="s">
        <v>9</v>
      </c>
      <c r="AY70" s="162" t="s">
        <v>9</v>
      </c>
      <c r="AZ70" s="162" t="s">
        <v>9</v>
      </c>
      <c r="BA70" s="162" t="s">
        <v>9</v>
      </c>
      <c r="BB70" s="162" t="s">
        <v>9</v>
      </c>
      <c r="BC70" s="162" t="s">
        <v>9</v>
      </c>
      <c r="BD70" s="162" t="s">
        <v>9</v>
      </c>
      <c r="BE70" s="162" t="s">
        <v>9</v>
      </c>
      <c r="BF70" s="162" t="s">
        <v>9</v>
      </c>
      <c r="BG70" s="162" t="s">
        <v>9</v>
      </c>
      <c r="BH70" s="162" t="s">
        <v>9</v>
      </c>
      <c r="BI70" s="162" t="s">
        <v>9</v>
      </c>
      <c r="BJ70" s="162" t="s">
        <v>9</v>
      </c>
      <c r="BK70" s="194"/>
    </row>
    <row r="71" spans="1:63">
      <c r="A71" s="145" t="s">
        <v>344</v>
      </c>
      <c r="B71" s="146" t="s">
        <v>607</v>
      </c>
      <c r="C71" s="146" t="str">
        <f>IF(COUNTIF(Measure_62443_2_1[[#This Row],[G 0.13 Interception of Compromising Interference Signals]:[OPS.1.1.3.8 Manipulation of data and tools during patch and change management]],"X")&gt;0,"X","")</f>
        <v/>
      </c>
      <c r="D71" s="162" t="s">
        <v>9</v>
      </c>
      <c r="E71" s="162" t="s">
        <v>9</v>
      </c>
      <c r="F71" s="162" t="s">
        <v>9</v>
      </c>
      <c r="G71" s="162" t="s">
        <v>9</v>
      </c>
      <c r="H71" s="162" t="s">
        <v>9</v>
      </c>
      <c r="I71" s="162" t="s">
        <v>9</v>
      </c>
      <c r="J71" s="162" t="s">
        <v>9</v>
      </c>
      <c r="K71" s="162" t="s">
        <v>9</v>
      </c>
      <c r="L71" s="162" t="s">
        <v>9</v>
      </c>
      <c r="M71" s="162" t="s">
        <v>9</v>
      </c>
      <c r="N71" s="162" t="s">
        <v>9</v>
      </c>
      <c r="O71" s="162" t="s">
        <v>9</v>
      </c>
      <c r="P71" s="162" t="s">
        <v>9</v>
      </c>
      <c r="Q71" s="162" t="s">
        <v>9</v>
      </c>
      <c r="R71" s="162" t="s">
        <v>9</v>
      </c>
      <c r="S71" s="162" t="s">
        <v>9</v>
      </c>
      <c r="T71" s="162" t="s">
        <v>9</v>
      </c>
      <c r="U71" s="162" t="s">
        <v>9</v>
      </c>
      <c r="V71" s="162" t="s">
        <v>9</v>
      </c>
      <c r="W71" s="162" t="s">
        <v>9</v>
      </c>
      <c r="X71" s="162" t="s">
        <v>9</v>
      </c>
      <c r="Y71" s="162" t="s">
        <v>9</v>
      </c>
      <c r="Z71" s="162" t="s">
        <v>9</v>
      </c>
      <c r="AA71" s="162" t="s">
        <v>9</v>
      </c>
      <c r="AB71" s="162" t="s">
        <v>9</v>
      </c>
      <c r="AC71" s="162" t="s">
        <v>9</v>
      </c>
      <c r="AD71" s="162" t="s">
        <v>9</v>
      </c>
      <c r="AE71" s="162" t="s">
        <v>9</v>
      </c>
      <c r="AF71" s="162" t="s">
        <v>9</v>
      </c>
      <c r="AG71" s="162" t="s">
        <v>9</v>
      </c>
      <c r="AH71" s="162" t="s">
        <v>9</v>
      </c>
      <c r="AI71" s="162" t="s">
        <v>9</v>
      </c>
      <c r="AJ71" s="162" t="s">
        <v>9</v>
      </c>
      <c r="AK71" s="162" t="s">
        <v>9</v>
      </c>
      <c r="AL71" s="162" t="s">
        <v>9</v>
      </c>
      <c r="AM71" s="162" t="s">
        <v>9</v>
      </c>
      <c r="AN71" s="162" t="s">
        <v>9</v>
      </c>
      <c r="AO71" s="162" t="s">
        <v>9</v>
      </c>
      <c r="AP71" s="162" t="s">
        <v>9</v>
      </c>
      <c r="AQ71" s="162" t="s">
        <v>9</v>
      </c>
      <c r="AR71" s="162" t="s">
        <v>9</v>
      </c>
      <c r="AS71" s="162" t="s">
        <v>9</v>
      </c>
      <c r="AT71" s="162" t="s">
        <v>9</v>
      </c>
      <c r="AU71" s="162" t="s">
        <v>9</v>
      </c>
      <c r="AV71" s="162" t="s">
        <v>9</v>
      </c>
      <c r="AW71" s="162" t="s">
        <v>9</v>
      </c>
      <c r="AX71" s="162" t="s">
        <v>9</v>
      </c>
      <c r="AY71" s="162" t="s">
        <v>9</v>
      </c>
      <c r="AZ71" s="162" t="s">
        <v>9</v>
      </c>
      <c r="BA71" s="162" t="s">
        <v>9</v>
      </c>
      <c r="BB71" s="162" t="s">
        <v>9</v>
      </c>
      <c r="BC71" s="162" t="s">
        <v>9</v>
      </c>
      <c r="BD71" s="162" t="s">
        <v>9</v>
      </c>
      <c r="BE71" s="162" t="s">
        <v>9</v>
      </c>
      <c r="BF71" s="162" t="s">
        <v>9</v>
      </c>
      <c r="BG71" s="162" t="s">
        <v>9</v>
      </c>
      <c r="BH71" s="162" t="s">
        <v>9</v>
      </c>
      <c r="BI71" s="162" t="s">
        <v>9</v>
      </c>
      <c r="BJ71" s="162" t="s">
        <v>9</v>
      </c>
      <c r="BK71" s="194"/>
    </row>
    <row r="72" spans="1:63">
      <c r="A72" s="145" t="s">
        <v>345</v>
      </c>
      <c r="B72" s="146" t="s">
        <v>607</v>
      </c>
      <c r="C72" s="146" t="str">
        <f>IF(COUNTIF(Measure_62443_2_1[[#This Row],[G 0.13 Interception of Compromising Interference Signals]:[OPS.1.1.3.8 Manipulation of data and tools during patch and change management]],"X")&gt;0,"X","")</f>
        <v/>
      </c>
      <c r="D72" s="162" t="s">
        <v>9</v>
      </c>
      <c r="E72" s="162" t="s">
        <v>9</v>
      </c>
      <c r="F72" s="162" t="s">
        <v>9</v>
      </c>
      <c r="G72" s="162" t="s">
        <v>9</v>
      </c>
      <c r="H72" s="162" t="s">
        <v>9</v>
      </c>
      <c r="I72" s="162" t="s">
        <v>9</v>
      </c>
      <c r="J72" s="162" t="s">
        <v>9</v>
      </c>
      <c r="K72" s="162" t="s">
        <v>9</v>
      </c>
      <c r="L72" s="162" t="s">
        <v>9</v>
      </c>
      <c r="M72" s="162" t="s">
        <v>9</v>
      </c>
      <c r="N72" s="162" t="s">
        <v>9</v>
      </c>
      <c r="O72" s="162" t="s">
        <v>9</v>
      </c>
      <c r="P72" s="162" t="s">
        <v>9</v>
      </c>
      <c r="Q72" s="162" t="s">
        <v>9</v>
      </c>
      <c r="R72" s="162" t="s">
        <v>9</v>
      </c>
      <c r="S72" s="162" t="s">
        <v>9</v>
      </c>
      <c r="T72" s="162" t="s">
        <v>9</v>
      </c>
      <c r="U72" s="162" t="s">
        <v>9</v>
      </c>
      <c r="V72" s="162" t="s">
        <v>9</v>
      </c>
      <c r="W72" s="162" t="s">
        <v>9</v>
      </c>
      <c r="X72" s="162" t="s">
        <v>9</v>
      </c>
      <c r="Y72" s="162" t="s">
        <v>9</v>
      </c>
      <c r="Z72" s="162" t="s">
        <v>9</v>
      </c>
      <c r="AA72" s="162" t="s">
        <v>9</v>
      </c>
      <c r="AB72" s="162" t="s">
        <v>9</v>
      </c>
      <c r="AC72" s="162" t="s">
        <v>9</v>
      </c>
      <c r="AD72" s="162" t="s">
        <v>9</v>
      </c>
      <c r="AE72" s="162" t="s">
        <v>9</v>
      </c>
      <c r="AF72" s="162" t="s">
        <v>9</v>
      </c>
      <c r="AG72" s="162" t="s">
        <v>9</v>
      </c>
      <c r="AH72" s="162" t="s">
        <v>9</v>
      </c>
      <c r="AI72" s="162" t="s">
        <v>9</v>
      </c>
      <c r="AJ72" s="162" t="s">
        <v>9</v>
      </c>
      <c r="AK72" s="162" t="s">
        <v>9</v>
      </c>
      <c r="AL72" s="162" t="s">
        <v>9</v>
      </c>
      <c r="AM72" s="162" t="s">
        <v>9</v>
      </c>
      <c r="AN72" s="162" t="s">
        <v>9</v>
      </c>
      <c r="AO72" s="162" t="s">
        <v>9</v>
      </c>
      <c r="AP72" s="162" t="s">
        <v>9</v>
      </c>
      <c r="AQ72" s="162" t="s">
        <v>9</v>
      </c>
      <c r="AR72" s="162" t="s">
        <v>9</v>
      </c>
      <c r="AS72" s="162" t="s">
        <v>9</v>
      </c>
      <c r="AT72" s="162" t="s">
        <v>9</v>
      </c>
      <c r="AU72" s="162" t="s">
        <v>9</v>
      </c>
      <c r="AV72" s="162" t="s">
        <v>9</v>
      </c>
      <c r="AW72" s="162" t="s">
        <v>9</v>
      </c>
      <c r="AX72" s="162" t="s">
        <v>9</v>
      </c>
      <c r="AY72" s="162" t="s">
        <v>9</v>
      </c>
      <c r="AZ72" s="162" t="s">
        <v>9</v>
      </c>
      <c r="BA72" s="162" t="s">
        <v>9</v>
      </c>
      <c r="BB72" s="162" t="s">
        <v>9</v>
      </c>
      <c r="BC72" s="162" t="s">
        <v>9</v>
      </c>
      <c r="BD72" s="162" t="s">
        <v>9</v>
      </c>
      <c r="BE72" s="162" t="s">
        <v>9</v>
      </c>
      <c r="BF72" s="162" t="s">
        <v>9</v>
      </c>
      <c r="BG72" s="162" t="s">
        <v>9</v>
      </c>
      <c r="BH72" s="162" t="s">
        <v>9</v>
      </c>
      <c r="BI72" s="162" t="s">
        <v>9</v>
      </c>
      <c r="BJ72" s="162" t="s">
        <v>9</v>
      </c>
      <c r="BK72" s="194"/>
    </row>
    <row r="73" spans="1:63">
      <c r="A73" s="145" t="s">
        <v>346</v>
      </c>
      <c r="B73" s="146" t="s">
        <v>607</v>
      </c>
      <c r="C73" s="146" t="str">
        <f>IF(COUNTIF(Measure_62443_2_1[[#This Row],[G 0.13 Interception of Compromising Interference Signals]:[OPS.1.1.3.8 Manipulation of data and tools during patch and change management]],"X")&gt;0,"X","")</f>
        <v/>
      </c>
      <c r="D73" s="162" t="s">
        <v>9</v>
      </c>
      <c r="E73" s="162" t="s">
        <v>9</v>
      </c>
      <c r="F73" s="162" t="s">
        <v>9</v>
      </c>
      <c r="G73" s="162" t="s">
        <v>9</v>
      </c>
      <c r="H73" s="162" t="s">
        <v>9</v>
      </c>
      <c r="I73" s="162" t="s">
        <v>9</v>
      </c>
      <c r="J73" s="162" t="s">
        <v>9</v>
      </c>
      <c r="K73" s="162" t="s">
        <v>9</v>
      </c>
      <c r="L73" s="162" t="s">
        <v>9</v>
      </c>
      <c r="M73" s="162" t="s">
        <v>9</v>
      </c>
      <c r="N73" s="162" t="s">
        <v>9</v>
      </c>
      <c r="O73" s="162" t="s">
        <v>9</v>
      </c>
      <c r="P73" s="162" t="s">
        <v>9</v>
      </c>
      <c r="Q73" s="162" t="s">
        <v>9</v>
      </c>
      <c r="R73" s="162" t="s">
        <v>9</v>
      </c>
      <c r="S73" s="162" t="s">
        <v>9</v>
      </c>
      <c r="T73" s="162" t="s">
        <v>9</v>
      </c>
      <c r="U73" s="162" t="s">
        <v>9</v>
      </c>
      <c r="V73" s="162" t="s">
        <v>9</v>
      </c>
      <c r="W73" s="162" t="s">
        <v>9</v>
      </c>
      <c r="X73" s="162" t="s">
        <v>9</v>
      </c>
      <c r="Y73" s="162" t="s">
        <v>9</v>
      </c>
      <c r="Z73" s="162" t="s">
        <v>9</v>
      </c>
      <c r="AA73" s="162" t="s">
        <v>9</v>
      </c>
      <c r="AB73" s="162" t="s">
        <v>9</v>
      </c>
      <c r="AC73" s="162" t="s">
        <v>9</v>
      </c>
      <c r="AD73" s="162" t="s">
        <v>9</v>
      </c>
      <c r="AE73" s="162" t="s">
        <v>9</v>
      </c>
      <c r="AF73" s="162" t="s">
        <v>9</v>
      </c>
      <c r="AG73" s="162" t="s">
        <v>9</v>
      </c>
      <c r="AH73" s="162" t="s">
        <v>9</v>
      </c>
      <c r="AI73" s="162" t="s">
        <v>9</v>
      </c>
      <c r="AJ73" s="162" t="s">
        <v>9</v>
      </c>
      <c r="AK73" s="162" t="s">
        <v>9</v>
      </c>
      <c r="AL73" s="162" t="s">
        <v>9</v>
      </c>
      <c r="AM73" s="162" t="s">
        <v>9</v>
      </c>
      <c r="AN73" s="162" t="s">
        <v>9</v>
      </c>
      <c r="AO73" s="162" t="s">
        <v>9</v>
      </c>
      <c r="AP73" s="162" t="s">
        <v>9</v>
      </c>
      <c r="AQ73" s="162" t="s">
        <v>9</v>
      </c>
      <c r="AR73" s="162" t="s">
        <v>9</v>
      </c>
      <c r="AS73" s="162" t="s">
        <v>9</v>
      </c>
      <c r="AT73" s="162" t="s">
        <v>9</v>
      </c>
      <c r="AU73" s="162" t="s">
        <v>9</v>
      </c>
      <c r="AV73" s="162" t="s">
        <v>9</v>
      </c>
      <c r="AW73" s="162" t="s">
        <v>9</v>
      </c>
      <c r="AX73" s="162" t="s">
        <v>9</v>
      </c>
      <c r="AY73" s="162" t="s">
        <v>9</v>
      </c>
      <c r="AZ73" s="162" t="s">
        <v>9</v>
      </c>
      <c r="BA73" s="162" t="s">
        <v>9</v>
      </c>
      <c r="BB73" s="162" t="s">
        <v>9</v>
      </c>
      <c r="BC73" s="162" t="s">
        <v>9</v>
      </c>
      <c r="BD73" s="162" t="s">
        <v>9</v>
      </c>
      <c r="BE73" s="162" t="s">
        <v>9</v>
      </c>
      <c r="BF73" s="162" t="s">
        <v>9</v>
      </c>
      <c r="BG73" s="162" t="s">
        <v>9</v>
      </c>
      <c r="BH73" s="162" t="s">
        <v>9</v>
      </c>
      <c r="BI73" s="162" t="s">
        <v>9</v>
      </c>
      <c r="BJ73" s="162" t="s">
        <v>9</v>
      </c>
      <c r="BK73" s="194"/>
    </row>
    <row r="74" spans="1:63">
      <c r="A74" s="145" t="s">
        <v>347</v>
      </c>
      <c r="B74" s="146" t="s">
        <v>607</v>
      </c>
      <c r="C74" s="146" t="str">
        <f>IF(COUNTIF(Measure_62443_2_1[[#This Row],[G 0.13 Interception of Compromising Interference Signals]:[OPS.1.1.3.8 Manipulation of data and tools during patch and change management]],"X")&gt;0,"X","")</f>
        <v/>
      </c>
      <c r="D74" s="162" t="s">
        <v>9</v>
      </c>
      <c r="E74" s="162" t="s">
        <v>9</v>
      </c>
      <c r="F74" s="162" t="s">
        <v>9</v>
      </c>
      <c r="G74" s="162" t="s">
        <v>9</v>
      </c>
      <c r="H74" s="162" t="s">
        <v>9</v>
      </c>
      <c r="I74" s="162" t="s">
        <v>9</v>
      </c>
      <c r="J74" s="162" t="s">
        <v>9</v>
      </c>
      <c r="K74" s="162" t="s">
        <v>9</v>
      </c>
      <c r="L74" s="162" t="s">
        <v>9</v>
      </c>
      <c r="M74" s="162" t="s">
        <v>9</v>
      </c>
      <c r="N74" s="162" t="s">
        <v>9</v>
      </c>
      <c r="O74" s="162" t="s">
        <v>9</v>
      </c>
      <c r="P74" s="162" t="s">
        <v>9</v>
      </c>
      <c r="Q74" s="162" t="s">
        <v>9</v>
      </c>
      <c r="R74" s="162" t="s">
        <v>9</v>
      </c>
      <c r="S74" s="162" t="s">
        <v>9</v>
      </c>
      <c r="T74" s="162" t="s">
        <v>9</v>
      </c>
      <c r="U74" s="162" t="s">
        <v>9</v>
      </c>
      <c r="V74" s="162" t="s">
        <v>9</v>
      </c>
      <c r="W74" s="162" t="s">
        <v>9</v>
      </c>
      <c r="X74" s="162" t="s">
        <v>9</v>
      </c>
      <c r="Y74" s="162" t="s">
        <v>9</v>
      </c>
      <c r="Z74" s="162" t="s">
        <v>9</v>
      </c>
      <c r="AA74" s="162" t="s">
        <v>9</v>
      </c>
      <c r="AB74" s="162" t="s">
        <v>9</v>
      </c>
      <c r="AC74" s="162" t="s">
        <v>9</v>
      </c>
      <c r="AD74" s="162" t="s">
        <v>9</v>
      </c>
      <c r="AE74" s="162" t="s">
        <v>9</v>
      </c>
      <c r="AF74" s="162" t="s">
        <v>9</v>
      </c>
      <c r="AG74" s="162" t="s">
        <v>9</v>
      </c>
      <c r="AH74" s="162" t="s">
        <v>9</v>
      </c>
      <c r="AI74" s="162" t="s">
        <v>9</v>
      </c>
      <c r="AJ74" s="162" t="s">
        <v>9</v>
      </c>
      <c r="AK74" s="162" t="s">
        <v>9</v>
      </c>
      <c r="AL74" s="162" t="s">
        <v>9</v>
      </c>
      <c r="AM74" s="162" t="s">
        <v>9</v>
      </c>
      <c r="AN74" s="162" t="s">
        <v>9</v>
      </c>
      <c r="AO74" s="162" t="s">
        <v>9</v>
      </c>
      <c r="AP74" s="162" t="s">
        <v>9</v>
      </c>
      <c r="AQ74" s="162" t="s">
        <v>9</v>
      </c>
      <c r="AR74" s="162" t="s">
        <v>9</v>
      </c>
      <c r="AS74" s="162" t="s">
        <v>9</v>
      </c>
      <c r="AT74" s="162" t="s">
        <v>9</v>
      </c>
      <c r="AU74" s="162" t="s">
        <v>9</v>
      </c>
      <c r="AV74" s="162" t="s">
        <v>9</v>
      </c>
      <c r="AW74" s="162" t="s">
        <v>9</v>
      </c>
      <c r="AX74" s="162" t="s">
        <v>9</v>
      </c>
      <c r="AY74" s="162" t="s">
        <v>9</v>
      </c>
      <c r="AZ74" s="162" t="s">
        <v>9</v>
      </c>
      <c r="BA74" s="162" t="s">
        <v>9</v>
      </c>
      <c r="BB74" s="162" t="s">
        <v>9</v>
      </c>
      <c r="BC74" s="162" t="s">
        <v>9</v>
      </c>
      <c r="BD74" s="162" t="s">
        <v>9</v>
      </c>
      <c r="BE74" s="162" t="s">
        <v>9</v>
      </c>
      <c r="BF74" s="162" t="s">
        <v>9</v>
      </c>
      <c r="BG74" s="162" t="s">
        <v>9</v>
      </c>
      <c r="BH74" s="162" t="s">
        <v>9</v>
      </c>
      <c r="BI74" s="162" t="s">
        <v>9</v>
      </c>
      <c r="BJ74" s="162" t="s">
        <v>9</v>
      </c>
      <c r="BK74" s="194"/>
    </row>
    <row r="75" spans="1:63">
      <c r="A75" s="145" t="s">
        <v>348</v>
      </c>
      <c r="B75" s="146" t="s">
        <v>607</v>
      </c>
      <c r="C75" s="146" t="str">
        <f>IF(COUNTIF(Measure_62443_2_1[[#This Row],[G 0.13 Interception of Compromising Interference Signals]:[OPS.1.1.3.8 Manipulation of data and tools during patch and change management]],"X")&gt;0,"X","")</f>
        <v/>
      </c>
      <c r="D75" s="162" t="s">
        <v>9</v>
      </c>
      <c r="E75" s="162" t="s">
        <v>9</v>
      </c>
      <c r="F75" s="162" t="s">
        <v>9</v>
      </c>
      <c r="G75" s="162" t="s">
        <v>9</v>
      </c>
      <c r="H75" s="162" t="s">
        <v>9</v>
      </c>
      <c r="I75" s="162" t="s">
        <v>9</v>
      </c>
      <c r="J75" s="162" t="s">
        <v>9</v>
      </c>
      <c r="K75" s="162" t="s">
        <v>9</v>
      </c>
      <c r="L75" s="162" t="s">
        <v>9</v>
      </c>
      <c r="M75" s="162" t="s">
        <v>9</v>
      </c>
      <c r="N75" s="162" t="s">
        <v>9</v>
      </c>
      <c r="O75" s="162" t="s">
        <v>9</v>
      </c>
      <c r="P75" s="162" t="s">
        <v>9</v>
      </c>
      <c r="Q75" s="162" t="s">
        <v>9</v>
      </c>
      <c r="R75" s="162" t="s">
        <v>9</v>
      </c>
      <c r="S75" s="162" t="s">
        <v>9</v>
      </c>
      <c r="T75" s="162" t="s">
        <v>9</v>
      </c>
      <c r="U75" s="162" t="s">
        <v>9</v>
      </c>
      <c r="V75" s="162" t="s">
        <v>9</v>
      </c>
      <c r="W75" s="162" t="s">
        <v>9</v>
      </c>
      <c r="X75" s="162" t="s">
        <v>9</v>
      </c>
      <c r="Y75" s="162" t="s">
        <v>9</v>
      </c>
      <c r="Z75" s="162" t="s">
        <v>9</v>
      </c>
      <c r="AA75" s="162" t="s">
        <v>9</v>
      </c>
      <c r="AB75" s="162" t="s">
        <v>9</v>
      </c>
      <c r="AC75" s="162" t="s">
        <v>9</v>
      </c>
      <c r="AD75" s="162" t="s">
        <v>9</v>
      </c>
      <c r="AE75" s="162" t="s">
        <v>9</v>
      </c>
      <c r="AF75" s="162" t="s">
        <v>9</v>
      </c>
      <c r="AG75" s="162" t="s">
        <v>9</v>
      </c>
      <c r="AH75" s="162" t="s">
        <v>9</v>
      </c>
      <c r="AI75" s="162" t="s">
        <v>9</v>
      </c>
      <c r="AJ75" s="162" t="s">
        <v>9</v>
      </c>
      <c r="AK75" s="162" t="s">
        <v>9</v>
      </c>
      <c r="AL75" s="162" t="s">
        <v>9</v>
      </c>
      <c r="AM75" s="162" t="s">
        <v>9</v>
      </c>
      <c r="AN75" s="162" t="s">
        <v>9</v>
      </c>
      <c r="AO75" s="162" t="s">
        <v>9</v>
      </c>
      <c r="AP75" s="162" t="s">
        <v>9</v>
      </c>
      <c r="AQ75" s="162" t="s">
        <v>9</v>
      </c>
      <c r="AR75" s="162" t="s">
        <v>9</v>
      </c>
      <c r="AS75" s="162" t="s">
        <v>9</v>
      </c>
      <c r="AT75" s="162" t="s">
        <v>9</v>
      </c>
      <c r="AU75" s="162" t="s">
        <v>9</v>
      </c>
      <c r="AV75" s="162" t="s">
        <v>9</v>
      </c>
      <c r="AW75" s="162" t="s">
        <v>9</v>
      </c>
      <c r="AX75" s="162" t="s">
        <v>9</v>
      </c>
      <c r="AY75" s="162" t="s">
        <v>9</v>
      </c>
      <c r="AZ75" s="162" t="s">
        <v>9</v>
      </c>
      <c r="BA75" s="162" t="s">
        <v>9</v>
      </c>
      <c r="BB75" s="162" t="s">
        <v>9</v>
      </c>
      <c r="BC75" s="162" t="s">
        <v>9</v>
      </c>
      <c r="BD75" s="162" t="s">
        <v>9</v>
      </c>
      <c r="BE75" s="162" t="s">
        <v>9</v>
      </c>
      <c r="BF75" s="162" t="s">
        <v>9</v>
      </c>
      <c r="BG75" s="162" t="s">
        <v>9</v>
      </c>
      <c r="BH75" s="162" t="s">
        <v>9</v>
      </c>
      <c r="BI75" s="162" t="s">
        <v>9</v>
      </c>
      <c r="BJ75" s="162" t="s">
        <v>9</v>
      </c>
      <c r="BK75" s="194"/>
    </row>
    <row r="76" spans="1:63">
      <c r="A76" s="145" t="s">
        <v>349</v>
      </c>
      <c r="B76" s="146" t="s">
        <v>607</v>
      </c>
      <c r="C76" s="146" t="str">
        <f>IF(COUNTIF(Measure_62443_2_1[[#This Row],[G 0.13 Interception of Compromising Interference Signals]:[OPS.1.1.3.8 Manipulation of data and tools during patch and change management]],"X")&gt;0,"X","")</f>
        <v/>
      </c>
      <c r="D76" s="162" t="s">
        <v>9</v>
      </c>
      <c r="E76" s="162" t="s">
        <v>9</v>
      </c>
      <c r="F76" s="162" t="s">
        <v>9</v>
      </c>
      <c r="G76" s="162" t="s">
        <v>9</v>
      </c>
      <c r="H76" s="162" t="s">
        <v>9</v>
      </c>
      <c r="I76" s="162" t="s">
        <v>9</v>
      </c>
      <c r="J76" s="162" t="s">
        <v>9</v>
      </c>
      <c r="K76" s="162" t="s">
        <v>9</v>
      </c>
      <c r="L76" s="162" t="s">
        <v>9</v>
      </c>
      <c r="M76" s="162" t="s">
        <v>9</v>
      </c>
      <c r="N76" s="162" t="s">
        <v>9</v>
      </c>
      <c r="O76" s="162" t="s">
        <v>9</v>
      </c>
      <c r="P76" s="162" t="s">
        <v>9</v>
      </c>
      <c r="Q76" s="162" t="s">
        <v>9</v>
      </c>
      <c r="R76" s="162" t="s">
        <v>9</v>
      </c>
      <c r="S76" s="162" t="s">
        <v>9</v>
      </c>
      <c r="T76" s="162" t="s">
        <v>9</v>
      </c>
      <c r="U76" s="162" t="s">
        <v>9</v>
      </c>
      <c r="V76" s="162" t="s">
        <v>9</v>
      </c>
      <c r="W76" s="162" t="s">
        <v>9</v>
      </c>
      <c r="X76" s="162" t="s">
        <v>9</v>
      </c>
      <c r="Y76" s="162" t="s">
        <v>9</v>
      </c>
      <c r="Z76" s="162" t="s">
        <v>9</v>
      </c>
      <c r="AA76" s="162" t="s">
        <v>9</v>
      </c>
      <c r="AB76" s="162" t="s">
        <v>9</v>
      </c>
      <c r="AC76" s="162" t="s">
        <v>9</v>
      </c>
      <c r="AD76" s="162" t="s">
        <v>9</v>
      </c>
      <c r="AE76" s="162" t="s">
        <v>9</v>
      </c>
      <c r="AF76" s="162" t="s">
        <v>9</v>
      </c>
      <c r="AG76" s="162" t="s">
        <v>9</v>
      </c>
      <c r="AH76" s="162" t="s">
        <v>9</v>
      </c>
      <c r="AI76" s="162" t="s">
        <v>9</v>
      </c>
      <c r="AJ76" s="162" t="s">
        <v>9</v>
      </c>
      <c r="AK76" s="162" t="s">
        <v>9</v>
      </c>
      <c r="AL76" s="162" t="s">
        <v>9</v>
      </c>
      <c r="AM76" s="162" t="s">
        <v>9</v>
      </c>
      <c r="AN76" s="162" t="s">
        <v>9</v>
      </c>
      <c r="AO76" s="162" t="s">
        <v>9</v>
      </c>
      <c r="AP76" s="162" t="s">
        <v>9</v>
      </c>
      <c r="AQ76" s="162" t="s">
        <v>9</v>
      </c>
      <c r="AR76" s="162" t="s">
        <v>9</v>
      </c>
      <c r="AS76" s="162" t="s">
        <v>9</v>
      </c>
      <c r="AT76" s="162" t="s">
        <v>9</v>
      </c>
      <c r="AU76" s="162" t="s">
        <v>9</v>
      </c>
      <c r="AV76" s="162" t="s">
        <v>9</v>
      </c>
      <c r="AW76" s="162" t="s">
        <v>9</v>
      </c>
      <c r="AX76" s="162" t="s">
        <v>9</v>
      </c>
      <c r="AY76" s="162" t="s">
        <v>9</v>
      </c>
      <c r="AZ76" s="162" t="s">
        <v>9</v>
      </c>
      <c r="BA76" s="162" t="s">
        <v>9</v>
      </c>
      <c r="BB76" s="162" t="s">
        <v>9</v>
      </c>
      <c r="BC76" s="162" t="s">
        <v>9</v>
      </c>
      <c r="BD76" s="162" t="s">
        <v>9</v>
      </c>
      <c r="BE76" s="162" t="s">
        <v>9</v>
      </c>
      <c r="BF76" s="162" t="s">
        <v>9</v>
      </c>
      <c r="BG76" s="162" t="s">
        <v>9</v>
      </c>
      <c r="BH76" s="162" t="s">
        <v>9</v>
      </c>
      <c r="BI76" s="162" t="s">
        <v>9</v>
      </c>
      <c r="BJ76" s="162" t="s">
        <v>9</v>
      </c>
      <c r="BK76" s="194"/>
    </row>
    <row r="77" spans="1:63">
      <c r="A77" s="145" t="s">
        <v>350</v>
      </c>
      <c r="B77" s="146" t="s">
        <v>607</v>
      </c>
      <c r="C77" s="146" t="str">
        <f>IF(COUNTIF(Measure_62443_2_1[[#This Row],[G 0.13 Interception of Compromising Interference Signals]:[OPS.1.1.3.8 Manipulation of data and tools during patch and change management]],"X")&gt;0,"X","")</f>
        <v/>
      </c>
      <c r="D77" s="162" t="s">
        <v>9</v>
      </c>
      <c r="E77" s="162" t="s">
        <v>9</v>
      </c>
      <c r="F77" s="162" t="s">
        <v>9</v>
      </c>
      <c r="G77" s="162" t="s">
        <v>9</v>
      </c>
      <c r="H77" s="162" t="s">
        <v>9</v>
      </c>
      <c r="I77" s="162" t="s">
        <v>9</v>
      </c>
      <c r="J77" s="162" t="s">
        <v>9</v>
      </c>
      <c r="K77" s="162" t="s">
        <v>9</v>
      </c>
      <c r="L77" s="162" t="s">
        <v>9</v>
      </c>
      <c r="M77" s="162" t="s">
        <v>9</v>
      </c>
      <c r="N77" s="162" t="s">
        <v>9</v>
      </c>
      <c r="O77" s="162" t="s">
        <v>9</v>
      </c>
      <c r="P77" s="162" t="s">
        <v>9</v>
      </c>
      <c r="Q77" s="162" t="s">
        <v>9</v>
      </c>
      <c r="R77" s="162" t="s">
        <v>9</v>
      </c>
      <c r="S77" s="162" t="s">
        <v>9</v>
      </c>
      <c r="T77" s="162" t="s">
        <v>9</v>
      </c>
      <c r="U77" s="162" t="s">
        <v>9</v>
      </c>
      <c r="V77" s="162" t="s">
        <v>9</v>
      </c>
      <c r="W77" s="162" t="s">
        <v>9</v>
      </c>
      <c r="X77" s="162" t="s">
        <v>9</v>
      </c>
      <c r="Y77" s="162" t="s">
        <v>9</v>
      </c>
      <c r="Z77" s="162" t="s">
        <v>9</v>
      </c>
      <c r="AA77" s="162" t="s">
        <v>9</v>
      </c>
      <c r="AB77" s="162" t="s">
        <v>9</v>
      </c>
      <c r="AC77" s="162" t="s">
        <v>9</v>
      </c>
      <c r="AD77" s="162" t="s">
        <v>9</v>
      </c>
      <c r="AE77" s="162" t="s">
        <v>9</v>
      </c>
      <c r="AF77" s="162" t="s">
        <v>9</v>
      </c>
      <c r="AG77" s="162" t="s">
        <v>9</v>
      </c>
      <c r="AH77" s="162" t="s">
        <v>9</v>
      </c>
      <c r="AI77" s="162" t="s">
        <v>9</v>
      </c>
      <c r="AJ77" s="162" t="s">
        <v>9</v>
      </c>
      <c r="AK77" s="162" t="s">
        <v>9</v>
      </c>
      <c r="AL77" s="162" t="s">
        <v>9</v>
      </c>
      <c r="AM77" s="162" t="s">
        <v>9</v>
      </c>
      <c r="AN77" s="162" t="s">
        <v>9</v>
      </c>
      <c r="AO77" s="162" t="s">
        <v>9</v>
      </c>
      <c r="AP77" s="162" t="s">
        <v>9</v>
      </c>
      <c r="AQ77" s="162" t="s">
        <v>9</v>
      </c>
      <c r="AR77" s="162" t="s">
        <v>9</v>
      </c>
      <c r="AS77" s="162" t="s">
        <v>9</v>
      </c>
      <c r="AT77" s="162" t="s">
        <v>9</v>
      </c>
      <c r="AU77" s="162" t="s">
        <v>9</v>
      </c>
      <c r="AV77" s="162" t="s">
        <v>9</v>
      </c>
      <c r="AW77" s="162" t="s">
        <v>9</v>
      </c>
      <c r="AX77" s="162" t="s">
        <v>9</v>
      </c>
      <c r="AY77" s="162" t="s">
        <v>9</v>
      </c>
      <c r="AZ77" s="162" t="s">
        <v>9</v>
      </c>
      <c r="BA77" s="162" t="s">
        <v>9</v>
      </c>
      <c r="BB77" s="162" t="s">
        <v>9</v>
      </c>
      <c r="BC77" s="162" t="s">
        <v>9</v>
      </c>
      <c r="BD77" s="162" t="s">
        <v>9</v>
      </c>
      <c r="BE77" s="162" t="s">
        <v>9</v>
      </c>
      <c r="BF77" s="162" t="s">
        <v>9</v>
      </c>
      <c r="BG77" s="162" t="s">
        <v>9</v>
      </c>
      <c r="BH77" s="162" t="s">
        <v>9</v>
      </c>
      <c r="BI77" s="162" t="s">
        <v>9</v>
      </c>
      <c r="BJ77" s="162" t="s">
        <v>9</v>
      </c>
      <c r="BK77" s="194"/>
    </row>
    <row r="78" spans="1:63">
      <c r="A78" s="145" t="s">
        <v>351</v>
      </c>
      <c r="B78" s="146" t="s">
        <v>607</v>
      </c>
      <c r="C78" s="146" t="str">
        <f>IF(COUNTIF(Measure_62443_2_1[[#This Row],[G 0.13 Interception of Compromising Interference Signals]:[OPS.1.1.3.8 Manipulation of data and tools during patch and change management]],"X")&gt;0,"X","")</f>
        <v/>
      </c>
      <c r="D78" s="162" t="s">
        <v>9</v>
      </c>
      <c r="E78" s="162" t="s">
        <v>9</v>
      </c>
      <c r="F78" s="162" t="s">
        <v>9</v>
      </c>
      <c r="G78" s="162" t="s">
        <v>9</v>
      </c>
      <c r="H78" s="162" t="s">
        <v>9</v>
      </c>
      <c r="I78" s="162" t="s">
        <v>9</v>
      </c>
      <c r="J78" s="162" t="s">
        <v>9</v>
      </c>
      <c r="K78" s="162" t="s">
        <v>9</v>
      </c>
      <c r="L78" s="162" t="s">
        <v>9</v>
      </c>
      <c r="M78" s="162" t="s">
        <v>9</v>
      </c>
      <c r="N78" s="162" t="s">
        <v>9</v>
      </c>
      <c r="O78" s="162" t="s">
        <v>9</v>
      </c>
      <c r="P78" s="162" t="s">
        <v>9</v>
      </c>
      <c r="Q78" s="162" t="s">
        <v>9</v>
      </c>
      <c r="R78" s="162" t="s">
        <v>9</v>
      </c>
      <c r="S78" s="162" t="s">
        <v>9</v>
      </c>
      <c r="T78" s="162" t="s">
        <v>9</v>
      </c>
      <c r="U78" s="162" t="s">
        <v>9</v>
      </c>
      <c r="V78" s="162" t="s">
        <v>9</v>
      </c>
      <c r="W78" s="162" t="s">
        <v>9</v>
      </c>
      <c r="X78" s="162" t="s">
        <v>9</v>
      </c>
      <c r="Y78" s="162" t="s">
        <v>9</v>
      </c>
      <c r="Z78" s="162" t="s">
        <v>9</v>
      </c>
      <c r="AA78" s="162" t="s">
        <v>9</v>
      </c>
      <c r="AB78" s="162" t="s">
        <v>9</v>
      </c>
      <c r="AC78" s="162" t="s">
        <v>9</v>
      </c>
      <c r="AD78" s="162" t="s">
        <v>9</v>
      </c>
      <c r="AE78" s="162" t="s">
        <v>9</v>
      </c>
      <c r="AF78" s="162" t="s">
        <v>9</v>
      </c>
      <c r="AG78" s="162" t="s">
        <v>9</v>
      </c>
      <c r="AH78" s="162" t="s">
        <v>9</v>
      </c>
      <c r="AI78" s="162" t="s">
        <v>9</v>
      </c>
      <c r="AJ78" s="162" t="s">
        <v>9</v>
      </c>
      <c r="AK78" s="162" t="s">
        <v>9</v>
      </c>
      <c r="AL78" s="162" t="s">
        <v>9</v>
      </c>
      <c r="AM78" s="162" t="s">
        <v>9</v>
      </c>
      <c r="AN78" s="162" t="s">
        <v>9</v>
      </c>
      <c r="AO78" s="162" t="s">
        <v>9</v>
      </c>
      <c r="AP78" s="162" t="s">
        <v>9</v>
      </c>
      <c r="AQ78" s="162" t="s">
        <v>9</v>
      </c>
      <c r="AR78" s="162" t="s">
        <v>9</v>
      </c>
      <c r="AS78" s="162" t="s">
        <v>9</v>
      </c>
      <c r="AT78" s="162" t="s">
        <v>9</v>
      </c>
      <c r="AU78" s="162" t="s">
        <v>9</v>
      </c>
      <c r="AV78" s="162" t="s">
        <v>9</v>
      </c>
      <c r="AW78" s="162" t="s">
        <v>9</v>
      </c>
      <c r="AX78" s="162" t="s">
        <v>9</v>
      </c>
      <c r="AY78" s="162" t="s">
        <v>9</v>
      </c>
      <c r="AZ78" s="162" t="s">
        <v>9</v>
      </c>
      <c r="BA78" s="162" t="s">
        <v>9</v>
      </c>
      <c r="BB78" s="162" t="s">
        <v>9</v>
      </c>
      <c r="BC78" s="162" t="s">
        <v>9</v>
      </c>
      <c r="BD78" s="162" t="s">
        <v>9</v>
      </c>
      <c r="BE78" s="162" t="s">
        <v>9</v>
      </c>
      <c r="BF78" s="162" t="s">
        <v>9</v>
      </c>
      <c r="BG78" s="162" t="s">
        <v>9</v>
      </c>
      <c r="BH78" s="162" t="s">
        <v>9</v>
      </c>
      <c r="BI78" s="162" t="s">
        <v>9</v>
      </c>
      <c r="BJ78" s="162" t="s">
        <v>9</v>
      </c>
      <c r="BK78" s="194"/>
    </row>
    <row r="79" spans="1:63">
      <c r="A79" s="145" t="s">
        <v>352</v>
      </c>
      <c r="B79" s="146" t="s">
        <v>607</v>
      </c>
      <c r="C79" s="146" t="str">
        <f>IF(COUNTIF(Measure_62443_2_1[[#This Row],[G 0.13 Interception of Compromising Interference Signals]:[OPS.1.1.3.8 Manipulation of data and tools during patch and change management]],"X")&gt;0,"X","")</f>
        <v/>
      </c>
      <c r="D79" s="162" t="s">
        <v>9</v>
      </c>
      <c r="E79" s="162" t="s">
        <v>9</v>
      </c>
      <c r="F79" s="162" t="s">
        <v>9</v>
      </c>
      <c r="G79" s="162" t="s">
        <v>9</v>
      </c>
      <c r="H79" s="162" t="s">
        <v>9</v>
      </c>
      <c r="I79" s="162" t="s">
        <v>9</v>
      </c>
      <c r="J79" s="162" t="s">
        <v>9</v>
      </c>
      <c r="K79" s="162" t="s">
        <v>9</v>
      </c>
      <c r="L79" s="162" t="s">
        <v>9</v>
      </c>
      <c r="M79" s="162" t="s">
        <v>9</v>
      </c>
      <c r="N79" s="162" t="s">
        <v>9</v>
      </c>
      <c r="O79" s="162" t="s">
        <v>9</v>
      </c>
      <c r="P79" s="162" t="s">
        <v>9</v>
      </c>
      <c r="Q79" s="162" t="s">
        <v>9</v>
      </c>
      <c r="R79" s="162" t="s">
        <v>9</v>
      </c>
      <c r="S79" s="162" t="s">
        <v>9</v>
      </c>
      <c r="T79" s="162" t="s">
        <v>9</v>
      </c>
      <c r="U79" s="162" t="s">
        <v>9</v>
      </c>
      <c r="V79" s="162" t="s">
        <v>9</v>
      </c>
      <c r="W79" s="162" t="s">
        <v>9</v>
      </c>
      <c r="X79" s="162" t="s">
        <v>9</v>
      </c>
      <c r="Y79" s="162" t="s">
        <v>9</v>
      </c>
      <c r="Z79" s="162" t="s">
        <v>9</v>
      </c>
      <c r="AA79" s="162" t="s">
        <v>9</v>
      </c>
      <c r="AB79" s="162" t="s">
        <v>9</v>
      </c>
      <c r="AC79" s="162" t="s">
        <v>9</v>
      </c>
      <c r="AD79" s="162" t="s">
        <v>9</v>
      </c>
      <c r="AE79" s="162" t="s">
        <v>9</v>
      </c>
      <c r="AF79" s="162" t="s">
        <v>9</v>
      </c>
      <c r="AG79" s="162" t="s">
        <v>9</v>
      </c>
      <c r="AH79" s="162" t="s">
        <v>9</v>
      </c>
      <c r="AI79" s="162" t="s">
        <v>9</v>
      </c>
      <c r="AJ79" s="162" t="s">
        <v>9</v>
      </c>
      <c r="AK79" s="162" t="s">
        <v>9</v>
      </c>
      <c r="AL79" s="162" t="s">
        <v>9</v>
      </c>
      <c r="AM79" s="162" t="s">
        <v>9</v>
      </c>
      <c r="AN79" s="162" t="s">
        <v>9</v>
      </c>
      <c r="AO79" s="162" t="s">
        <v>9</v>
      </c>
      <c r="AP79" s="162" t="s">
        <v>9</v>
      </c>
      <c r="AQ79" s="162" t="s">
        <v>9</v>
      </c>
      <c r="AR79" s="162" t="s">
        <v>9</v>
      </c>
      <c r="AS79" s="162" t="s">
        <v>9</v>
      </c>
      <c r="AT79" s="162" t="s">
        <v>9</v>
      </c>
      <c r="AU79" s="162" t="s">
        <v>9</v>
      </c>
      <c r="AV79" s="162" t="s">
        <v>9</v>
      </c>
      <c r="AW79" s="162" t="s">
        <v>9</v>
      </c>
      <c r="AX79" s="162" t="s">
        <v>9</v>
      </c>
      <c r="AY79" s="162" t="s">
        <v>9</v>
      </c>
      <c r="AZ79" s="162" t="s">
        <v>9</v>
      </c>
      <c r="BA79" s="162" t="s">
        <v>9</v>
      </c>
      <c r="BB79" s="162" t="s">
        <v>9</v>
      </c>
      <c r="BC79" s="162" t="s">
        <v>9</v>
      </c>
      <c r="BD79" s="162" t="s">
        <v>9</v>
      </c>
      <c r="BE79" s="162" t="s">
        <v>9</v>
      </c>
      <c r="BF79" s="162" t="s">
        <v>9</v>
      </c>
      <c r="BG79" s="162" t="s">
        <v>9</v>
      </c>
      <c r="BH79" s="162" t="s">
        <v>9</v>
      </c>
      <c r="BI79" s="162" t="s">
        <v>9</v>
      </c>
      <c r="BJ79" s="162" t="s">
        <v>9</v>
      </c>
      <c r="BK79" s="194"/>
    </row>
    <row r="80" spans="1:63">
      <c r="A80" s="145" t="s">
        <v>353</v>
      </c>
      <c r="B80" s="146" t="s">
        <v>607</v>
      </c>
      <c r="C80" s="146" t="str">
        <f>IF(COUNTIF(Measure_62443_2_1[[#This Row],[G 0.13 Interception of Compromising Interference Signals]:[OPS.1.1.3.8 Manipulation of data and tools during patch and change management]],"X")&gt;0,"X","")</f>
        <v/>
      </c>
      <c r="D80" s="162" t="s">
        <v>9</v>
      </c>
      <c r="E80" s="162" t="s">
        <v>9</v>
      </c>
      <c r="F80" s="162" t="s">
        <v>9</v>
      </c>
      <c r="G80" s="162" t="s">
        <v>9</v>
      </c>
      <c r="H80" s="162" t="s">
        <v>9</v>
      </c>
      <c r="I80" s="162" t="s">
        <v>9</v>
      </c>
      <c r="J80" s="162" t="s">
        <v>9</v>
      </c>
      <c r="K80" s="162" t="s">
        <v>9</v>
      </c>
      <c r="L80" s="162" t="s">
        <v>9</v>
      </c>
      <c r="M80" s="162" t="s">
        <v>9</v>
      </c>
      <c r="N80" s="162" t="s">
        <v>9</v>
      </c>
      <c r="O80" s="162" t="s">
        <v>9</v>
      </c>
      <c r="P80" s="162" t="s">
        <v>9</v>
      </c>
      <c r="Q80" s="162" t="s">
        <v>9</v>
      </c>
      <c r="R80" s="162" t="s">
        <v>9</v>
      </c>
      <c r="S80" s="162" t="s">
        <v>9</v>
      </c>
      <c r="T80" s="162" t="s">
        <v>9</v>
      </c>
      <c r="U80" s="162" t="s">
        <v>9</v>
      </c>
      <c r="V80" s="162" t="s">
        <v>9</v>
      </c>
      <c r="W80" s="162" t="s">
        <v>9</v>
      </c>
      <c r="X80" s="162" t="s">
        <v>9</v>
      </c>
      <c r="Y80" s="162" t="s">
        <v>9</v>
      </c>
      <c r="Z80" s="162" t="s">
        <v>9</v>
      </c>
      <c r="AA80" s="162" t="s">
        <v>9</v>
      </c>
      <c r="AB80" s="162" t="s">
        <v>9</v>
      </c>
      <c r="AC80" s="162" t="s">
        <v>9</v>
      </c>
      <c r="AD80" s="162" t="s">
        <v>9</v>
      </c>
      <c r="AE80" s="162" t="s">
        <v>9</v>
      </c>
      <c r="AF80" s="162" t="s">
        <v>9</v>
      </c>
      <c r="AG80" s="162" t="s">
        <v>9</v>
      </c>
      <c r="AH80" s="162" t="s">
        <v>9</v>
      </c>
      <c r="AI80" s="162" t="s">
        <v>9</v>
      </c>
      <c r="AJ80" s="162" t="s">
        <v>9</v>
      </c>
      <c r="AK80" s="162" t="s">
        <v>9</v>
      </c>
      <c r="AL80" s="162" t="s">
        <v>9</v>
      </c>
      <c r="AM80" s="162" t="s">
        <v>9</v>
      </c>
      <c r="AN80" s="162" t="s">
        <v>9</v>
      </c>
      <c r="AO80" s="162" t="s">
        <v>9</v>
      </c>
      <c r="AP80" s="162" t="s">
        <v>9</v>
      </c>
      <c r="AQ80" s="162" t="s">
        <v>9</v>
      </c>
      <c r="AR80" s="162" t="s">
        <v>9</v>
      </c>
      <c r="AS80" s="162" t="s">
        <v>9</v>
      </c>
      <c r="AT80" s="162" t="s">
        <v>9</v>
      </c>
      <c r="AU80" s="162" t="s">
        <v>9</v>
      </c>
      <c r="AV80" s="162" t="s">
        <v>9</v>
      </c>
      <c r="AW80" s="162" t="s">
        <v>9</v>
      </c>
      <c r="AX80" s="162" t="s">
        <v>9</v>
      </c>
      <c r="AY80" s="162" t="s">
        <v>9</v>
      </c>
      <c r="AZ80" s="162" t="s">
        <v>9</v>
      </c>
      <c r="BA80" s="162" t="s">
        <v>9</v>
      </c>
      <c r="BB80" s="162" t="s">
        <v>9</v>
      </c>
      <c r="BC80" s="162" t="s">
        <v>9</v>
      </c>
      <c r="BD80" s="162" t="s">
        <v>9</v>
      </c>
      <c r="BE80" s="162" t="s">
        <v>9</v>
      </c>
      <c r="BF80" s="162" t="s">
        <v>9</v>
      </c>
      <c r="BG80" s="162" t="s">
        <v>9</v>
      </c>
      <c r="BH80" s="162" t="s">
        <v>9</v>
      </c>
      <c r="BI80" s="162" t="s">
        <v>9</v>
      </c>
      <c r="BJ80" s="162" t="s">
        <v>9</v>
      </c>
      <c r="BK80" s="194"/>
    </row>
    <row r="81" spans="1:63">
      <c r="A81" s="145" t="s">
        <v>354</v>
      </c>
      <c r="B81" s="146" t="s">
        <v>607</v>
      </c>
      <c r="C81" s="146" t="str">
        <f>IF(COUNTIF(Measure_62443_2_1[[#This Row],[G 0.13 Interception of Compromising Interference Signals]:[OPS.1.1.3.8 Manipulation of data and tools during patch and change management]],"X")&gt;0,"X","")</f>
        <v/>
      </c>
      <c r="D81" s="162" t="s">
        <v>9</v>
      </c>
      <c r="E81" s="162" t="s">
        <v>9</v>
      </c>
      <c r="F81" s="162" t="s">
        <v>9</v>
      </c>
      <c r="G81" s="162" t="s">
        <v>9</v>
      </c>
      <c r="H81" s="162" t="s">
        <v>9</v>
      </c>
      <c r="I81" s="162" t="s">
        <v>9</v>
      </c>
      <c r="J81" s="162" t="s">
        <v>9</v>
      </c>
      <c r="K81" s="162" t="s">
        <v>9</v>
      </c>
      <c r="L81" s="162" t="s">
        <v>9</v>
      </c>
      <c r="M81" s="162" t="s">
        <v>9</v>
      </c>
      <c r="N81" s="162" t="s">
        <v>9</v>
      </c>
      <c r="O81" s="162" t="s">
        <v>9</v>
      </c>
      <c r="P81" s="162" t="s">
        <v>9</v>
      </c>
      <c r="Q81" s="162" t="s">
        <v>9</v>
      </c>
      <c r="R81" s="162" t="s">
        <v>9</v>
      </c>
      <c r="S81" s="162" t="s">
        <v>9</v>
      </c>
      <c r="T81" s="162" t="s">
        <v>9</v>
      </c>
      <c r="U81" s="162" t="s">
        <v>9</v>
      </c>
      <c r="V81" s="162" t="s">
        <v>9</v>
      </c>
      <c r="W81" s="162" t="s">
        <v>9</v>
      </c>
      <c r="X81" s="162" t="s">
        <v>9</v>
      </c>
      <c r="Y81" s="162" t="s">
        <v>9</v>
      </c>
      <c r="Z81" s="162" t="s">
        <v>9</v>
      </c>
      <c r="AA81" s="162" t="s">
        <v>9</v>
      </c>
      <c r="AB81" s="162" t="s">
        <v>9</v>
      </c>
      <c r="AC81" s="162" t="s">
        <v>9</v>
      </c>
      <c r="AD81" s="162" t="s">
        <v>9</v>
      </c>
      <c r="AE81" s="162" t="s">
        <v>9</v>
      </c>
      <c r="AF81" s="162" t="s">
        <v>9</v>
      </c>
      <c r="AG81" s="162" t="s">
        <v>9</v>
      </c>
      <c r="AH81" s="162" t="s">
        <v>9</v>
      </c>
      <c r="AI81" s="162" t="s">
        <v>9</v>
      </c>
      <c r="AJ81" s="162" t="s">
        <v>9</v>
      </c>
      <c r="AK81" s="162" t="s">
        <v>9</v>
      </c>
      <c r="AL81" s="162" t="s">
        <v>9</v>
      </c>
      <c r="AM81" s="162" t="s">
        <v>9</v>
      </c>
      <c r="AN81" s="162" t="s">
        <v>9</v>
      </c>
      <c r="AO81" s="162" t="s">
        <v>9</v>
      </c>
      <c r="AP81" s="162" t="s">
        <v>9</v>
      </c>
      <c r="AQ81" s="162" t="s">
        <v>9</v>
      </c>
      <c r="AR81" s="162" t="s">
        <v>9</v>
      </c>
      <c r="AS81" s="162" t="s">
        <v>9</v>
      </c>
      <c r="AT81" s="162" t="s">
        <v>9</v>
      </c>
      <c r="AU81" s="162" t="s">
        <v>9</v>
      </c>
      <c r="AV81" s="162" t="s">
        <v>9</v>
      </c>
      <c r="AW81" s="162" t="s">
        <v>9</v>
      </c>
      <c r="AX81" s="162" t="s">
        <v>9</v>
      </c>
      <c r="AY81" s="162" t="s">
        <v>9</v>
      </c>
      <c r="AZ81" s="162" t="s">
        <v>9</v>
      </c>
      <c r="BA81" s="162" t="s">
        <v>9</v>
      </c>
      <c r="BB81" s="162" t="s">
        <v>9</v>
      </c>
      <c r="BC81" s="162" t="s">
        <v>9</v>
      </c>
      <c r="BD81" s="162" t="s">
        <v>9</v>
      </c>
      <c r="BE81" s="162" t="s">
        <v>9</v>
      </c>
      <c r="BF81" s="162" t="s">
        <v>9</v>
      </c>
      <c r="BG81" s="162" t="s">
        <v>9</v>
      </c>
      <c r="BH81" s="162" t="s">
        <v>9</v>
      </c>
      <c r="BI81" s="162" t="s">
        <v>9</v>
      </c>
      <c r="BJ81" s="162" t="s">
        <v>9</v>
      </c>
      <c r="BK81" s="194"/>
    </row>
    <row r="82" spans="1:63">
      <c r="A82" s="145" t="s">
        <v>355</v>
      </c>
      <c r="B82" s="146" t="s">
        <v>607</v>
      </c>
      <c r="C82" s="146" t="str">
        <f>IF(COUNTIF(Measure_62443_2_1[[#This Row],[G 0.13 Interception of Compromising Interference Signals]:[OPS.1.1.3.8 Manipulation of data and tools during patch and change management]],"X")&gt;0,"X","")</f>
        <v/>
      </c>
      <c r="D82" s="162" t="s">
        <v>9</v>
      </c>
      <c r="E82" s="162" t="s">
        <v>9</v>
      </c>
      <c r="F82" s="162" t="s">
        <v>9</v>
      </c>
      <c r="G82" s="162" t="s">
        <v>9</v>
      </c>
      <c r="H82" s="162" t="s">
        <v>9</v>
      </c>
      <c r="I82" s="162" t="s">
        <v>9</v>
      </c>
      <c r="J82" s="162" t="s">
        <v>9</v>
      </c>
      <c r="K82" s="162" t="s">
        <v>9</v>
      </c>
      <c r="L82" s="162" t="s">
        <v>9</v>
      </c>
      <c r="M82" s="162" t="s">
        <v>9</v>
      </c>
      <c r="N82" s="162" t="s">
        <v>9</v>
      </c>
      <c r="O82" s="162" t="s">
        <v>9</v>
      </c>
      <c r="P82" s="162" t="s">
        <v>9</v>
      </c>
      <c r="Q82" s="162" t="s">
        <v>9</v>
      </c>
      <c r="R82" s="162" t="s">
        <v>9</v>
      </c>
      <c r="S82" s="162" t="s">
        <v>9</v>
      </c>
      <c r="T82" s="162" t="s">
        <v>9</v>
      </c>
      <c r="U82" s="162" t="s">
        <v>9</v>
      </c>
      <c r="V82" s="162" t="s">
        <v>9</v>
      </c>
      <c r="W82" s="162" t="s">
        <v>9</v>
      </c>
      <c r="X82" s="162" t="s">
        <v>9</v>
      </c>
      <c r="Y82" s="162" t="s">
        <v>9</v>
      </c>
      <c r="Z82" s="162" t="s">
        <v>9</v>
      </c>
      <c r="AA82" s="162" t="s">
        <v>9</v>
      </c>
      <c r="AB82" s="162" t="s">
        <v>9</v>
      </c>
      <c r="AC82" s="162" t="s">
        <v>9</v>
      </c>
      <c r="AD82" s="162" t="s">
        <v>9</v>
      </c>
      <c r="AE82" s="162" t="s">
        <v>9</v>
      </c>
      <c r="AF82" s="162" t="s">
        <v>9</v>
      </c>
      <c r="AG82" s="162" t="s">
        <v>9</v>
      </c>
      <c r="AH82" s="162" t="s">
        <v>9</v>
      </c>
      <c r="AI82" s="162" t="s">
        <v>9</v>
      </c>
      <c r="AJ82" s="162" t="s">
        <v>9</v>
      </c>
      <c r="AK82" s="162" t="s">
        <v>9</v>
      </c>
      <c r="AL82" s="162" t="s">
        <v>9</v>
      </c>
      <c r="AM82" s="162" t="s">
        <v>9</v>
      </c>
      <c r="AN82" s="162" t="s">
        <v>9</v>
      </c>
      <c r="AO82" s="162" t="s">
        <v>9</v>
      </c>
      <c r="AP82" s="162" t="s">
        <v>9</v>
      </c>
      <c r="AQ82" s="162" t="s">
        <v>9</v>
      </c>
      <c r="AR82" s="162" t="s">
        <v>9</v>
      </c>
      <c r="AS82" s="162" t="s">
        <v>9</v>
      </c>
      <c r="AT82" s="162" t="s">
        <v>9</v>
      </c>
      <c r="AU82" s="162" t="s">
        <v>9</v>
      </c>
      <c r="AV82" s="162" t="s">
        <v>9</v>
      </c>
      <c r="AW82" s="162" t="s">
        <v>9</v>
      </c>
      <c r="AX82" s="162" t="s">
        <v>9</v>
      </c>
      <c r="AY82" s="162" t="s">
        <v>9</v>
      </c>
      <c r="AZ82" s="162" t="s">
        <v>9</v>
      </c>
      <c r="BA82" s="162" t="s">
        <v>9</v>
      </c>
      <c r="BB82" s="162" t="s">
        <v>9</v>
      </c>
      <c r="BC82" s="162" t="s">
        <v>9</v>
      </c>
      <c r="BD82" s="162" t="s">
        <v>9</v>
      </c>
      <c r="BE82" s="162" t="s">
        <v>9</v>
      </c>
      <c r="BF82" s="162" t="s">
        <v>9</v>
      </c>
      <c r="BG82" s="162" t="s">
        <v>9</v>
      </c>
      <c r="BH82" s="162" t="s">
        <v>9</v>
      </c>
      <c r="BI82" s="162" t="s">
        <v>9</v>
      </c>
      <c r="BJ82" s="162" t="s">
        <v>9</v>
      </c>
      <c r="BK82" s="194"/>
    </row>
    <row r="83" spans="1:63">
      <c r="A83" s="145" t="s">
        <v>356</v>
      </c>
      <c r="B83" s="146" t="s">
        <v>607</v>
      </c>
      <c r="C83" s="146" t="str">
        <f>IF(COUNTIF(Measure_62443_2_1[[#This Row],[G 0.13 Interception of Compromising Interference Signals]:[OPS.1.1.3.8 Manipulation of data and tools during patch and change management]],"X")&gt;0,"X","")</f>
        <v/>
      </c>
      <c r="D83" s="162" t="s">
        <v>9</v>
      </c>
      <c r="E83" s="162" t="s">
        <v>9</v>
      </c>
      <c r="F83" s="162" t="s">
        <v>9</v>
      </c>
      <c r="G83" s="162" t="s">
        <v>9</v>
      </c>
      <c r="H83" s="162" t="s">
        <v>9</v>
      </c>
      <c r="I83" s="162" t="s">
        <v>9</v>
      </c>
      <c r="J83" s="162" t="s">
        <v>9</v>
      </c>
      <c r="K83" s="162" t="s">
        <v>9</v>
      </c>
      <c r="L83" s="162" t="s">
        <v>9</v>
      </c>
      <c r="M83" s="162" t="s">
        <v>9</v>
      </c>
      <c r="N83" s="162" t="s">
        <v>9</v>
      </c>
      <c r="O83" s="162" t="s">
        <v>9</v>
      </c>
      <c r="P83" s="162" t="s">
        <v>9</v>
      </c>
      <c r="Q83" s="162" t="s">
        <v>9</v>
      </c>
      <c r="R83" s="162" t="s">
        <v>9</v>
      </c>
      <c r="S83" s="162" t="s">
        <v>9</v>
      </c>
      <c r="T83" s="162" t="s">
        <v>9</v>
      </c>
      <c r="U83" s="162" t="s">
        <v>9</v>
      </c>
      <c r="V83" s="162" t="s">
        <v>9</v>
      </c>
      <c r="W83" s="162" t="s">
        <v>9</v>
      </c>
      <c r="X83" s="162" t="s">
        <v>9</v>
      </c>
      <c r="Y83" s="162" t="s">
        <v>9</v>
      </c>
      <c r="Z83" s="162" t="s">
        <v>9</v>
      </c>
      <c r="AA83" s="162" t="s">
        <v>9</v>
      </c>
      <c r="AB83" s="162" t="s">
        <v>9</v>
      </c>
      <c r="AC83" s="162" t="s">
        <v>9</v>
      </c>
      <c r="AD83" s="162" t="s">
        <v>9</v>
      </c>
      <c r="AE83" s="162" t="s">
        <v>9</v>
      </c>
      <c r="AF83" s="162" t="s">
        <v>9</v>
      </c>
      <c r="AG83" s="162" t="s">
        <v>9</v>
      </c>
      <c r="AH83" s="162" t="s">
        <v>9</v>
      </c>
      <c r="AI83" s="162" t="s">
        <v>9</v>
      </c>
      <c r="AJ83" s="162" t="s">
        <v>9</v>
      </c>
      <c r="AK83" s="162" t="s">
        <v>9</v>
      </c>
      <c r="AL83" s="162" t="s">
        <v>9</v>
      </c>
      <c r="AM83" s="162" t="s">
        <v>9</v>
      </c>
      <c r="AN83" s="162" t="s">
        <v>9</v>
      </c>
      <c r="AO83" s="162" t="s">
        <v>9</v>
      </c>
      <c r="AP83" s="162" t="s">
        <v>9</v>
      </c>
      <c r="AQ83" s="162" t="s">
        <v>9</v>
      </c>
      <c r="AR83" s="162" t="s">
        <v>9</v>
      </c>
      <c r="AS83" s="162" t="s">
        <v>9</v>
      </c>
      <c r="AT83" s="162" t="s">
        <v>9</v>
      </c>
      <c r="AU83" s="162" t="s">
        <v>9</v>
      </c>
      <c r="AV83" s="162" t="s">
        <v>9</v>
      </c>
      <c r="AW83" s="162" t="s">
        <v>9</v>
      </c>
      <c r="AX83" s="162" t="s">
        <v>9</v>
      </c>
      <c r="AY83" s="162" t="s">
        <v>9</v>
      </c>
      <c r="AZ83" s="162" t="s">
        <v>9</v>
      </c>
      <c r="BA83" s="162" t="s">
        <v>9</v>
      </c>
      <c r="BB83" s="162" t="s">
        <v>9</v>
      </c>
      <c r="BC83" s="162" t="s">
        <v>9</v>
      </c>
      <c r="BD83" s="162" t="s">
        <v>9</v>
      </c>
      <c r="BE83" s="162" t="s">
        <v>9</v>
      </c>
      <c r="BF83" s="162" t="s">
        <v>9</v>
      </c>
      <c r="BG83" s="162" t="s">
        <v>9</v>
      </c>
      <c r="BH83" s="162" t="s">
        <v>9</v>
      </c>
      <c r="BI83" s="162" t="s">
        <v>9</v>
      </c>
      <c r="BJ83" s="162" t="s">
        <v>9</v>
      </c>
      <c r="BK83" s="194"/>
    </row>
    <row r="84" spans="1:63">
      <c r="A84" s="145" t="s">
        <v>357</v>
      </c>
      <c r="B84" s="146" t="s">
        <v>607</v>
      </c>
      <c r="C84" s="146" t="str">
        <f>IF(COUNTIF(Measure_62443_2_1[[#This Row],[G 0.13 Interception of Compromising Interference Signals]:[OPS.1.1.3.8 Manipulation of data and tools during patch and change management]],"X")&gt;0,"X","")</f>
        <v/>
      </c>
      <c r="D84" s="162" t="s">
        <v>9</v>
      </c>
      <c r="E84" s="162" t="s">
        <v>9</v>
      </c>
      <c r="F84" s="162" t="s">
        <v>9</v>
      </c>
      <c r="G84" s="162" t="s">
        <v>9</v>
      </c>
      <c r="H84" s="162" t="s">
        <v>9</v>
      </c>
      <c r="I84" s="162" t="s">
        <v>9</v>
      </c>
      <c r="J84" s="162" t="s">
        <v>9</v>
      </c>
      <c r="K84" s="162" t="s">
        <v>9</v>
      </c>
      <c r="L84" s="162" t="s">
        <v>9</v>
      </c>
      <c r="M84" s="162" t="s">
        <v>9</v>
      </c>
      <c r="N84" s="162" t="s">
        <v>9</v>
      </c>
      <c r="O84" s="162" t="s">
        <v>9</v>
      </c>
      <c r="P84" s="162" t="s">
        <v>9</v>
      </c>
      <c r="Q84" s="162" t="s">
        <v>9</v>
      </c>
      <c r="R84" s="162" t="s">
        <v>9</v>
      </c>
      <c r="S84" s="162" t="s">
        <v>9</v>
      </c>
      <c r="T84" s="162" t="s">
        <v>9</v>
      </c>
      <c r="U84" s="162" t="s">
        <v>9</v>
      </c>
      <c r="V84" s="162" t="s">
        <v>9</v>
      </c>
      <c r="W84" s="162" t="s">
        <v>9</v>
      </c>
      <c r="X84" s="162" t="s">
        <v>9</v>
      </c>
      <c r="Y84" s="162" t="s">
        <v>9</v>
      </c>
      <c r="Z84" s="162" t="s">
        <v>9</v>
      </c>
      <c r="AA84" s="162" t="s">
        <v>9</v>
      </c>
      <c r="AB84" s="162" t="s">
        <v>9</v>
      </c>
      <c r="AC84" s="162" t="s">
        <v>9</v>
      </c>
      <c r="AD84" s="162" t="s">
        <v>9</v>
      </c>
      <c r="AE84" s="162" t="s">
        <v>9</v>
      </c>
      <c r="AF84" s="162" t="s">
        <v>9</v>
      </c>
      <c r="AG84" s="162" t="s">
        <v>9</v>
      </c>
      <c r="AH84" s="162" t="s">
        <v>9</v>
      </c>
      <c r="AI84" s="162" t="s">
        <v>9</v>
      </c>
      <c r="AJ84" s="162" t="s">
        <v>9</v>
      </c>
      <c r="AK84" s="162" t="s">
        <v>9</v>
      </c>
      <c r="AL84" s="162" t="s">
        <v>9</v>
      </c>
      <c r="AM84" s="162" t="s">
        <v>9</v>
      </c>
      <c r="AN84" s="162" t="s">
        <v>9</v>
      </c>
      <c r="AO84" s="162" t="s">
        <v>9</v>
      </c>
      <c r="AP84" s="162" t="s">
        <v>9</v>
      </c>
      <c r="AQ84" s="162" t="s">
        <v>9</v>
      </c>
      <c r="AR84" s="162" t="s">
        <v>9</v>
      </c>
      <c r="AS84" s="162" t="s">
        <v>9</v>
      </c>
      <c r="AT84" s="162" t="s">
        <v>9</v>
      </c>
      <c r="AU84" s="162" t="s">
        <v>9</v>
      </c>
      <c r="AV84" s="162" t="s">
        <v>9</v>
      </c>
      <c r="AW84" s="162" t="s">
        <v>9</v>
      </c>
      <c r="AX84" s="162" t="s">
        <v>9</v>
      </c>
      <c r="AY84" s="162" t="s">
        <v>9</v>
      </c>
      <c r="AZ84" s="162" t="s">
        <v>9</v>
      </c>
      <c r="BA84" s="162" t="s">
        <v>9</v>
      </c>
      <c r="BB84" s="162" t="s">
        <v>9</v>
      </c>
      <c r="BC84" s="162" t="s">
        <v>9</v>
      </c>
      <c r="BD84" s="162" t="s">
        <v>9</v>
      </c>
      <c r="BE84" s="162" t="s">
        <v>9</v>
      </c>
      <c r="BF84" s="162" t="s">
        <v>9</v>
      </c>
      <c r="BG84" s="162" t="s">
        <v>9</v>
      </c>
      <c r="BH84" s="162" t="s">
        <v>9</v>
      </c>
      <c r="BI84" s="162" t="s">
        <v>9</v>
      </c>
      <c r="BJ84" s="162" t="s">
        <v>9</v>
      </c>
      <c r="BK84" s="194"/>
    </row>
    <row r="85" spans="1:63">
      <c r="A85" s="145" t="s">
        <v>358</v>
      </c>
      <c r="B85" s="146" t="s">
        <v>607</v>
      </c>
      <c r="C85" s="146" t="str">
        <f>IF(COUNTIF(Measure_62443_2_1[[#This Row],[G 0.13 Interception of Compromising Interference Signals]:[OPS.1.1.3.8 Manipulation of data and tools during patch and change management]],"X")&gt;0,"X","")</f>
        <v/>
      </c>
      <c r="D85" s="162" t="s">
        <v>9</v>
      </c>
      <c r="E85" s="162" t="s">
        <v>9</v>
      </c>
      <c r="F85" s="162" t="s">
        <v>9</v>
      </c>
      <c r="G85" s="162" t="s">
        <v>9</v>
      </c>
      <c r="H85" s="162" t="s">
        <v>9</v>
      </c>
      <c r="I85" s="162" t="s">
        <v>9</v>
      </c>
      <c r="J85" s="162" t="s">
        <v>9</v>
      </c>
      <c r="K85" s="162" t="s">
        <v>9</v>
      </c>
      <c r="L85" s="162" t="s">
        <v>9</v>
      </c>
      <c r="M85" s="162" t="s">
        <v>9</v>
      </c>
      <c r="N85" s="162" t="s">
        <v>9</v>
      </c>
      <c r="O85" s="162" t="s">
        <v>9</v>
      </c>
      <c r="P85" s="162" t="s">
        <v>9</v>
      </c>
      <c r="Q85" s="162" t="s">
        <v>9</v>
      </c>
      <c r="R85" s="162" t="s">
        <v>9</v>
      </c>
      <c r="S85" s="162" t="s">
        <v>9</v>
      </c>
      <c r="T85" s="162" t="s">
        <v>9</v>
      </c>
      <c r="U85" s="162" t="s">
        <v>9</v>
      </c>
      <c r="V85" s="162" t="s">
        <v>9</v>
      </c>
      <c r="W85" s="162" t="s">
        <v>9</v>
      </c>
      <c r="X85" s="162" t="s">
        <v>9</v>
      </c>
      <c r="Y85" s="162" t="s">
        <v>9</v>
      </c>
      <c r="Z85" s="162" t="s">
        <v>9</v>
      </c>
      <c r="AA85" s="162" t="s">
        <v>9</v>
      </c>
      <c r="AB85" s="162" t="s">
        <v>9</v>
      </c>
      <c r="AC85" s="162" t="s">
        <v>9</v>
      </c>
      <c r="AD85" s="162" t="s">
        <v>9</v>
      </c>
      <c r="AE85" s="162" t="s">
        <v>9</v>
      </c>
      <c r="AF85" s="162" t="s">
        <v>9</v>
      </c>
      <c r="AG85" s="162" t="s">
        <v>9</v>
      </c>
      <c r="AH85" s="162" t="s">
        <v>9</v>
      </c>
      <c r="AI85" s="162" t="s">
        <v>9</v>
      </c>
      <c r="AJ85" s="162" t="s">
        <v>9</v>
      </c>
      <c r="AK85" s="162" t="s">
        <v>9</v>
      </c>
      <c r="AL85" s="162" t="s">
        <v>9</v>
      </c>
      <c r="AM85" s="162" t="s">
        <v>9</v>
      </c>
      <c r="AN85" s="162" t="s">
        <v>9</v>
      </c>
      <c r="AO85" s="162" t="s">
        <v>9</v>
      </c>
      <c r="AP85" s="162" t="s">
        <v>9</v>
      </c>
      <c r="AQ85" s="162" t="s">
        <v>9</v>
      </c>
      <c r="AR85" s="162" t="s">
        <v>9</v>
      </c>
      <c r="AS85" s="162" t="s">
        <v>9</v>
      </c>
      <c r="AT85" s="162" t="s">
        <v>9</v>
      </c>
      <c r="AU85" s="162" t="s">
        <v>9</v>
      </c>
      <c r="AV85" s="162" t="s">
        <v>9</v>
      </c>
      <c r="AW85" s="162" t="s">
        <v>9</v>
      </c>
      <c r="AX85" s="162" t="s">
        <v>9</v>
      </c>
      <c r="AY85" s="162" t="s">
        <v>9</v>
      </c>
      <c r="AZ85" s="162" t="s">
        <v>9</v>
      </c>
      <c r="BA85" s="162" t="s">
        <v>9</v>
      </c>
      <c r="BB85" s="162" t="s">
        <v>9</v>
      </c>
      <c r="BC85" s="162" t="s">
        <v>9</v>
      </c>
      <c r="BD85" s="162" t="s">
        <v>9</v>
      </c>
      <c r="BE85" s="162" t="s">
        <v>9</v>
      </c>
      <c r="BF85" s="162" t="s">
        <v>9</v>
      </c>
      <c r="BG85" s="162" t="s">
        <v>9</v>
      </c>
      <c r="BH85" s="162" t="s">
        <v>9</v>
      </c>
      <c r="BI85" s="162" t="s">
        <v>9</v>
      </c>
      <c r="BJ85" s="162" t="s">
        <v>9</v>
      </c>
      <c r="BK85" s="194"/>
    </row>
    <row r="86" spans="1:63">
      <c r="A86" s="145" t="s">
        <v>359</v>
      </c>
      <c r="B86" s="146" t="s">
        <v>607</v>
      </c>
      <c r="C86" s="146" t="str">
        <f>IF(COUNTIF(Measure_62443_2_1[[#This Row],[G 0.13 Interception of Compromising Interference Signals]:[OPS.1.1.3.8 Manipulation of data and tools during patch and change management]],"X")&gt;0,"X","")</f>
        <v/>
      </c>
      <c r="D86" s="162" t="s">
        <v>9</v>
      </c>
      <c r="E86" s="162" t="s">
        <v>9</v>
      </c>
      <c r="F86" s="162" t="s">
        <v>9</v>
      </c>
      <c r="G86" s="162" t="s">
        <v>9</v>
      </c>
      <c r="H86" s="162" t="s">
        <v>9</v>
      </c>
      <c r="I86" s="162" t="s">
        <v>9</v>
      </c>
      <c r="J86" s="162" t="s">
        <v>9</v>
      </c>
      <c r="K86" s="162" t="s">
        <v>9</v>
      </c>
      <c r="L86" s="162" t="s">
        <v>9</v>
      </c>
      <c r="M86" s="162" t="s">
        <v>9</v>
      </c>
      <c r="N86" s="162" t="s">
        <v>9</v>
      </c>
      <c r="O86" s="162" t="s">
        <v>9</v>
      </c>
      <c r="P86" s="162" t="s">
        <v>9</v>
      </c>
      <c r="Q86" s="162" t="s">
        <v>9</v>
      </c>
      <c r="R86" s="162" t="s">
        <v>9</v>
      </c>
      <c r="S86" s="162" t="s">
        <v>9</v>
      </c>
      <c r="T86" s="162" t="s">
        <v>9</v>
      </c>
      <c r="U86" s="162" t="s">
        <v>9</v>
      </c>
      <c r="V86" s="162" t="s">
        <v>9</v>
      </c>
      <c r="W86" s="162" t="s">
        <v>9</v>
      </c>
      <c r="X86" s="162" t="s">
        <v>9</v>
      </c>
      <c r="Y86" s="162" t="s">
        <v>9</v>
      </c>
      <c r="Z86" s="162" t="s">
        <v>9</v>
      </c>
      <c r="AA86" s="162" t="s">
        <v>9</v>
      </c>
      <c r="AB86" s="162" t="s">
        <v>9</v>
      </c>
      <c r="AC86" s="162" t="s">
        <v>9</v>
      </c>
      <c r="AD86" s="162" t="s">
        <v>9</v>
      </c>
      <c r="AE86" s="162" t="s">
        <v>9</v>
      </c>
      <c r="AF86" s="162" t="s">
        <v>9</v>
      </c>
      <c r="AG86" s="162" t="s">
        <v>9</v>
      </c>
      <c r="AH86" s="162" t="s">
        <v>9</v>
      </c>
      <c r="AI86" s="162" t="s">
        <v>9</v>
      </c>
      <c r="AJ86" s="162" t="s">
        <v>9</v>
      </c>
      <c r="AK86" s="162" t="s">
        <v>9</v>
      </c>
      <c r="AL86" s="162" t="s">
        <v>9</v>
      </c>
      <c r="AM86" s="162" t="s">
        <v>9</v>
      </c>
      <c r="AN86" s="162" t="s">
        <v>9</v>
      </c>
      <c r="AO86" s="162" t="s">
        <v>9</v>
      </c>
      <c r="AP86" s="162" t="s">
        <v>9</v>
      </c>
      <c r="AQ86" s="162" t="s">
        <v>9</v>
      </c>
      <c r="AR86" s="162" t="s">
        <v>9</v>
      </c>
      <c r="AS86" s="162" t="s">
        <v>9</v>
      </c>
      <c r="AT86" s="162" t="s">
        <v>9</v>
      </c>
      <c r="AU86" s="162" t="s">
        <v>9</v>
      </c>
      <c r="AV86" s="162" t="s">
        <v>9</v>
      </c>
      <c r="AW86" s="162" t="s">
        <v>9</v>
      </c>
      <c r="AX86" s="162" t="s">
        <v>9</v>
      </c>
      <c r="AY86" s="162" t="s">
        <v>9</v>
      </c>
      <c r="AZ86" s="162" t="s">
        <v>9</v>
      </c>
      <c r="BA86" s="162" t="s">
        <v>9</v>
      </c>
      <c r="BB86" s="162" t="s">
        <v>9</v>
      </c>
      <c r="BC86" s="162" t="s">
        <v>9</v>
      </c>
      <c r="BD86" s="162" t="s">
        <v>9</v>
      </c>
      <c r="BE86" s="162" t="s">
        <v>9</v>
      </c>
      <c r="BF86" s="162" t="s">
        <v>9</v>
      </c>
      <c r="BG86" s="162" t="s">
        <v>9</v>
      </c>
      <c r="BH86" s="162" t="s">
        <v>9</v>
      </c>
      <c r="BI86" s="162" t="s">
        <v>9</v>
      </c>
      <c r="BJ86" s="162" t="s">
        <v>9</v>
      </c>
      <c r="BK86" s="194"/>
    </row>
    <row r="87" spans="1:63">
      <c r="A87" s="145" t="s">
        <v>360</v>
      </c>
      <c r="B87" s="146" t="s">
        <v>607</v>
      </c>
      <c r="C87" s="146" t="str">
        <f>IF(COUNTIF(Measure_62443_2_1[[#This Row],[G 0.13 Interception of Compromising Interference Signals]:[OPS.1.1.3.8 Manipulation of data and tools during patch and change management]],"X")&gt;0,"X","")</f>
        <v/>
      </c>
      <c r="D87" s="162" t="s">
        <v>9</v>
      </c>
      <c r="E87" s="162" t="s">
        <v>9</v>
      </c>
      <c r="F87" s="162" t="s">
        <v>9</v>
      </c>
      <c r="G87" s="162" t="s">
        <v>9</v>
      </c>
      <c r="H87" s="162" t="s">
        <v>9</v>
      </c>
      <c r="I87" s="162" t="s">
        <v>9</v>
      </c>
      <c r="J87" s="162" t="s">
        <v>9</v>
      </c>
      <c r="K87" s="162" t="s">
        <v>9</v>
      </c>
      <c r="L87" s="162" t="s">
        <v>9</v>
      </c>
      <c r="M87" s="162" t="s">
        <v>9</v>
      </c>
      <c r="N87" s="162" t="s">
        <v>9</v>
      </c>
      <c r="O87" s="162" t="s">
        <v>9</v>
      </c>
      <c r="P87" s="162" t="s">
        <v>9</v>
      </c>
      <c r="Q87" s="162" t="s">
        <v>9</v>
      </c>
      <c r="R87" s="162" t="s">
        <v>9</v>
      </c>
      <c r="S87" s="162" t="s">
        <v>9</v>
      </c>
      <c r="T87" s="162" t="s">
        <v>9</v>
      </c>
      <c r="U87" s="162" t="s">
        <v>9</v>
      </c>
      <c r="V87" s="162" t="s">
        <v>9</v>
      </c>
      <c r="W87" s="162" t="s">
        <v>9</v>
      </c>
      <c r="X87" s="162" t="s">
        <v>9</v>
      </c>
      <c r="Y87" s="162" t="s">
        <v>9</v>
      </c>
      <c r="Z87" s="162" t="s">
        <v>9</v>
      </c>
      <c r="AA87" s="162" t="s">
        <v>9</v>
      </c>
      <c r="AB87" s="162" t="s">
        <v>9</v>
      </c>
      <c r="AC87" s="162" t="s">
        <v>9</v>
      </c>
      <c r="AD87" s="162" t="s">
        <v>9</v>
      </c>
      <c r="AE87" s="162" t="s">
        <v>9</v>
      </c>
      <c r="AF87" s="162" t="s">
        <v>9</v>
      </c>
      <c r="AG87" s="162" t="s">
        <v>9</v>
      </c>
      <c r="AH87" s="162" t="s">
        <v>9</v>
      </c>
      <c r="AI87" s="162" t="s">
        <v>9</v>
      </c>
      <c r="AJ87" s="162" t="s">
        <v>9</v>
      </c>
      <c r="AK87" s="162" t="s">
        <v>9</v>
      </c>
      <c r="AL87" s="162" t="s">
        <v>9</v>
      </c>
      <c r="AM87" s="162" t="s">
        <v>9</v>
      </c>
      <c r="AN87" s="162" t="s">
        <v>9</v>
      </c>
      <c r="AO87" s="162" t="s">
        <v>9</v>
      </c>
      <c r="AP87" s="162" t="s">
        <v>9</v>
      </c>
      <c r="AQ87" s="162" t="s">
        <v>9</v>
      </c>
      <c r="AR87" s="162" t="s">
        <v>9</v>
      </c>
      <c r="AS87" s="162" t="s">
        <v>9</v>
      </c>
      <c r="AT87" s="162" t="s">
        <v>9</v>
      </c>
      <c r="AU87" s="162" t="s">
        <v>9</v>
      </c>
      <c r="AV87" s="162" t="s">
        <v>9</v>
      </c>
      <c r="AW87" s="162" t="s">
        <v>9</v>
      </c>
      <c r="AX87" s="162" t="s">
        <v>9</v>
      </c>
      <c r="AY87" s="162" t="s">
        <v>9</v>
      </c>
      <c r="AZ87" s="162" t="s">
        <v>9</v>
      </c>
      <c r="BA87" s="162" t="s">
        <v>9</v>
      </c>
      <c r="BB87" s="162" t="s">
        <v>9</v>
      </c>
      <c r="BC87" s="162" t="s">
        <v>9</v>
      </c>
      <c r="BD87" s="162" t="s">
        <v>9</v>
      </c>
      <c r="BE87" s="162" t="s">
        <v>9</v>
      </c>
      <c r="BF87" s="162" t="s">
        <v>9</v>
      </c>
      <c r="BG87" s="162" t="s">
        <v>9</v>
      </c>
      <c r="BH87" s="162" t="s">
        <v>9</v>
      </c>
      <c r="BI87" s="162" t="s">
        <v>9</v>
      </c>
      <c r="BJ87" s="162" t="s">
        <v>9</v>
      </c>
      <c r="BK87" s="194"/>
    </row>
    <row r="88" spans="1:63">
      <c r="A88" s="145" t="s">
        <v>361</v>
      </c>
      <c r="B88" s="146" t="s">
        <v>607</v>
      </c>
      <c r="C88" s="146" t="str">
        <f>IF(COUNTIF(Measure_62443_2_1[[#This Row],[G 0.13 Interception of Compromising Interference Signals]:[OPS.1.1.3.8 Manipulation of data and tools during patch and change management]],"X")&gt;0,"X","")</f>
        <v/>
      </c>
      <c r="D88" s="162" t="s">
        <v>9</v>
      </c>
      <c r="E88" s="162" t="s">
        <v>9</v>
      </c>
      <c r="F88" s="162" t="s">
        <v>9</v>
      </c>
      <c r="G88" s="162" t="s">
        <v>9</v>
      </c>
      <c r="H88" s="162" t="s">
        <v>9</v>
      </c>
      <c r="I88" s="162" t="s">
        <v>9</v>
      </c>
      <c r="J88" s="162" t="s">
        <v>9</v>
      </c>
      <c r="K88" s="162" t="s">
        <v>9</v>
      </c>
      <c r="L88" s="162" t="s">
        <v>9</v>
      </c>
      <c r="M88" s="162" t="s">
        <v>9</v>
      </c>
      <c r="N88" s="162" t="s">
        <v>9</v>
      </c>
      <c r="O88" s="162" t="s">
        <v>9</v>
      </c>
      <c r="P88" s="162" t="s">
        <v>9</v>
      </c>
      <c r="Q88" s="162" t="s">
        <v>9</v>
      </c>
      <c r="R88" s="162" t="s">
        <v>9</v>
      </c>
      <c r="S88" s="162" t="s">
        <v>9</v>
      </c>
      <c r="T88" s="162" t="s">
        <v>9</v>
      </c>
      <c r="U88" s="162" t="s">
        <v>9</v>
      </c>
      <c r="V88" s="162" t="s">
        <v>9</v>
      </c>
      <c r="W88" s="162" t="s">
        <v>9</v>
      </c>
      <c r="X88" s="162" t="s">
        <v>9</v>
      </c>
      <c r="Y88" s="162" t="s">
        <v>9</v>
      </c>
      <c r="Z88" s="162" t="s">
        <v>9</v>
      </c>
      <c r="AA88" s="162" t="s">
        <v>9</v>
      </c>
      <c r="AB88" s="162" t="s">
        <v>9</v>
      </c>
      <c r="AC88" s="162" t="s">
        <v>9</v>
      </c>
      <c r="AD88" s="162" t="s">
        <v>9</v>
      </c>
      <c r="AE88" s="162" t="s">
        <v>9</v>
      </c>
      <c r="AF88" s="162" t="s">
        <v>9</v>
      </c>
      <c r="AG88" s="162" t="s">
        <v>9</v>
      </c>
      <c r="AH88" s="162" t="s">
        <v>9</v>
      </c>
      <c r="AI88" s="162" t="s">
        <v>9</v>
      </c>
      <c r="AJ88" s="162" t="s">
        <v>9</v>
      </c>
      <c r="AK88" s="162" t="s">
        <v>9</v>
      </c>
      <c r="AL88" s="162" t="s">
        <v>9</v>
      </c>
      <c r="AM88" s="162" t="s">
        <v>9</v>
      </c>
      <c r="AN88" s="162" t="s">
        <v>9</v>
      </c>
      <c r="AO88" s="162" t="s">
        <v>9</v>
      </c>
      <c r="AP88" s="162" t="s">
        <v>9</v>
      </c>
      <c r="AQ88" s="162" t="s">
        <v>9</v>
      </c>
      <c r="AR88" s="162" t="s">
        <v>9</v>
      </c>
      <c r="AS88" s="162" t="s">
        <v>9</v>
      </c>
      <c r="AT88" s="162" t="s">
        <v>9</v>
      </c>
      <c r="AU88" s="162" t="s">
        <v>9</v>
      </c>
      <c r="AV88" s="162" t="s">
        <v>9</v>
      </c>
      <c r="AW88" s="162" t="s">
        <v>9</v>
      </c>
      <c r="AX88" s="162" t="s">
        <v>9</v>
      </c>
      <c r="AY88" s="162" t="s">
        <v>9</v>
      </c>
      <c r="AZ88" s="162" t="s">
        <v>9</v>
      </c>
      <c r="BA88" s="162" t="s">
        <v>9</v>
      </c>
      <c r="BB88" s="162" t="s">
        <v>9</v>
      </c>
      <c r="BC88" s="162" t="s">
        <v>9</v>
      </c>
      <c r="BD88" s="162" t="s">
        <v>9</v>
      </c>
      <c r="BE88" s="162" t="s">
        <v>9</v>
      </c>
      <c r="BF88" s="162" t="s">
        <v>9</v>
      </c>
      <c r="BG88" s="162" t="s">
        <v>9</v>
      </c>
      <c r="BH88" s="162" t="s">
        <v>9</v>
      </c>
      <c r="BI88" s="162" t="s">
        <v>9</v>
      </c>
      <c r="BJ88" s="162" t="s">
        <v>9</v>
      </c>
      <c r="BK88" s="194"/>
    </row>
    <row r="89" spans="1:63">
      <c r="A89" s="145" t="s">
        <v>362</v>
      </c>
      <c r="B89" s="146" t="s">
        <v>607</v>
      </c>
      <c r="C89" s="146" t="str">
        <f>IF(COUNTIF(Measure_62443_2_1[[#This Row],[G 0.13 Interception of Compromising Interference Signals]:[OPS.1.1.3.8 Manipulation of data and tools during patch and change management]],"X")&gt;0,"X","")</f>
        <v/>
      </c>
      <c r="D89" s="162" t="s">
        <v>9</v>
      </c>
      <c r="E89" s="162" t="s">
        <v>9</v>
      </c>
      <c r="F89" s="162" t="s">
        <v>9</v>
      </c>
      <c r="G89" s="162" t="s">
        <v>9</v>
      </c>
      <c r="H89" s="162" t="s">
        <v>9</v>
      </c>
      <c r="I89" s="162" t="s">
        <v>9</v>
      </c>
      <c r="J89" s="162" t="s">
        <v>9</v>
      </c>
      <c r="K89" s="162" t="s">
        <v>9</v>
      </c>
      <c r="L89" s="162" t="s">
        <v>9</v>
      </c>
      <c r="M89" s="162" t="s">
        <v>9</v>
      </c>
      <c r="N89" s="162" t="s">
        <v>9</v>
      </c>
      <c r="O89" s="162" t="s">
        <v>9</v>
      </c>
      <c r="P89" s="162" t="s">
        <v>9</v>
      </c>
      <c r="Q89" s="162" t="s">
        <v>9</v>
      </c>
      <c r="R89" s="162" t="s">
        <v>9</v>
      </c>
      <c r="S89" s="162" t="s">
        <v>9</v>
      </c>
      <c r="T89" s="162" t="s">
        <v>9</v>
      </c>
      <c r="U89" s="162" t="s">
        <v>9</v>
      </c>
      <c r="V89" s="162" t="s">
        <v>9</v>
      </c>
      <c r="W89" s="162" t="s">
        <v>9</v>
      </c>
      <c r="X89" s="162" t="s">
        <v>9</v>
      </c>
      <c r="Y89" s="162" t="s">
        <v>9</v>
      </c>
      <c r="Z89" s="162" t="s">
        <v>9</v>
      </c>
      <c r="AA89" s="162" t="s">
        <v>9</v>
      </c>
      <c r="AB89" s="162" t="s">
        <v>9</v>
      </c>
      <c r="AC89" s="162" t="s">
        <v>9</v>
      </c>
      <c r="AD89" s="162" t="s">
        <v>9</v>
      </c>
      <c r="AE89" s="162" t="s">
        <v>9</v>
      </c>
      <c r="AF89" s="162" t="s">
        <v>9</v>
      </c>
      <c r="AG89" s="162" t="s">
        <v>9</v>
      </c>
      <c r="AH89" s="162" t="s">
        <v>9</v>
      </c>
      <c r="AI89" s="162" t="s">
        <v>9</v>
      </c>
      <c r="AJ89" s="162" t="s">
        <v>9</v>
      </c>
      <c r="AK89" s="162" t="s">
        <v>9</v>
      </c>
      <c r="AL89" s="162" t="s">
        <v>9</v>
      </c>
      <c r="AM89" s="162" t="s">
        <v>9</v>
      </c>
      <c r="AN89" s="162" t="s">
        <v>9</v>
      </c>
      <c r="AO89" s="162" t="s">
        <v>9</v>
      </c>
      <c r="AP89" s="162" t="s">
        <v>9</v>
      </c>
      <c r="AQ89" s="162" t="s">
        <v>9</v>
      </c>
      <c r="AR89" s="162" t="s">
        <v>9</v>
      </c>
      <c r="AS89" s="162" t="s">
        <v>9</v>
      </c>
      <c r="AT89" s="162" t="s">
        <v>9</v>
      </c>
      <c r="AU89" s="162" t="s">
        <v>9</v>
      </c>
      <c r="AV89" s="162" t="s">
        <v>9</v>
      </c>
      <c r="AW89" s="162" t="s">
        <v>9</v>
      </c>
      <c r="AX89" s="162" t="s">
        <v>9</v>
      </c>
      <c r="AY89" s="162" t="s">
        <v>9</v>
      </c>
      <c r="AZ89" s="162" t="s">
        <v>9</v>
      </c>
      <c r="BA89" s="162" t="s">
        <v>9</v>
      </c>
      <c r="BB89" s="162" t="s">
        <v>9</v>
      </c>
      <c r="BC89" s="162" t="s">
        <v>9</v>
      </c>
      <c r="BD89" s="162" t="s">
        <v>9</v>
      </c>
      <c r="BE89" s="162" t="s">
        <v>9</v>
      </c>
      <c r="BF89" s="162" t="s">
        <v>9</v>
      </c>
      <c r="BG89" s="162" t="s">
        <v>9</v>
      </c>
      <c r="BH89" s="162" t="s">
        <v>9</v>
      </c>
      <c r="BI89" s="162" t="s">
        <v>9</v>
      </c>
      <c r="BJ89" s="162" t="s">
        <v>9</v>
      </c>
      <c r="BK89" s="194"/>
    </row>
    <row r="90" spans="1:63">
      <c r="A90" s="145" t="s">
        <v>363</v>
      </c>
      <c r="B90" s="146" t="s">
        <v>607</v>
      </c>
      <c r="C90" s="146" t="str">
        <f>IF(COUNTIF(Measure_62443_2_1[[#This Row],[G 0.13 Interception of Compromising Interference Signals]:[OPS.1.1.3.8 Manipulation of data and tools during patch and change management]],"X")&gt;0,"X","")</f>
        <v/>
      </c>
      <c r="D90" s="162" t="s">
        <v>9</v>
      </c>
      <c r="E90" s="162" t="s">
        <v>9</v>
      </c>
      <c r="F90" s="162" t="s">
        <v>9</v>
      </c>
      <c r="G90" s="162" t="s">
        <v>9</v>
      </c>
      <c r="H90" s="162" t="s">
        <v>9</v>
      </c>
      <c r="I90" s="162" t="s">
        <v>9</v>
      </c>
      <c r="J90" s="162" t="s">
        <v>9</v>
      </c>
      <c r="K90" s="162" t="s">
        <v>9</v>
      </c>
      <c r="L90" s="162" t="s">
        <v>9</v>
      </c>
      <c r="M90" s="162" t="s">
        <v>9</v>
      </c>
      <c r="N90" s="162" t="s">
        <v>9</v>
      </c>
      <c r="O90" s="162" t="s">
        <v>9</v>
      </c>
      <c r="P90" s="162" t="s">
        <v>9</v>
      </c>
      <c r="Q90" s="162" t="s">
        <v>9</v>
      </c>
      <c r="R90" s="162" t="s">
        <v>9</v>
      </c>
      <c r="S90" s="162" t="s">
        <v>9</v>
      </c>
      <c r="T90" s="162" t="s">
        <v>9</v>
      </c>
      <c r="U90" s="162" t="s">
        <v>9</v>
      </c>
      <c r="V90" s="162" t="s">
        <v>9</v>
      </c>
      <c r="W90" s="162" t="s">
        <v>9</v>
      </c>
      <c r="X90" s="162" t="s">
        <v>9</v>
      </c>
      <c r="Y90" s="162" t="s">
        <v>9</v>
      </c>
      <c r="Z90" s="162" t="s">
        <v>9</v>
      </c>
      <c r="AA90" s="162" t="s">
        <v>9</v>
      </c>
      <c r="AB90" s="162" t="s">
        <v>9</v>
      </c>
      <c r="AC90" s="162" t="s">
        <v>9</v>
      </c>
      <c r="AD90" s="162" t="s">
        <v>9</v>
      </c>
      <c r="AE90" s="162" t="s">
        <v>9</v>
      </c>
      <c r="AF90" s="162" t="s">
        <v>9</v>
      </c>
      <c r="AG90" s="162" t="s">
        <v>9</v>
      </c>
      <c r="AH90" s="162" t="s">
        <v>9</v>
      </c>
      <c r="AI90" s="162" t="s">
        <v>9</v>
      </c>
      <c r="AJ90" s="162" t="s">
        <v>9</v>
      </c>
      <c r="AK90" s="162" t="s">
        <v>9</v>
      </c>
      <c r="AL90" s="162" t="s">
        <v>9</v>
      </c>
      <c r="AM90" s="162" t="s">
        <v>9</v>
      </c>
      <c r="AN90" s="162" t="s">
        <v>9</v>
      </c>
      <c r="AO90" s="162" t="s">
        <v>9</v>
      </c>
      <c r="AP90" s="162" t="s">
        <v>9</v>
      </c>
      <c r="AQ90" s="162" t="s">
        <v>9</v>
      </c>
      <c r="AR90" s="162" t="s">
        <v>9</v>
      </c>
      <c r="AS90" s="162" t="s">
        <v>9</v>
      </c>
      <c r="AT90" s="162" t="s">
        <v>9</v>
      </c>
      <c r="AU90" s="162" t="s">
        <v>9</v>
      </c>
      <c r="AV90" s="162" t="s">
        <v>9</v>
      </c>
      <c r="AW90" s="162" t="s">
        <v>9</v>
      </c>
      <c r="AX90" s="162" t="s">
        <v>9</v>
      </c>
      <c r="AY90" s="162" t="s">
        <v>9</v>
      </c>
      <c r="AZ90" s="162" t="s">
        <v>9</v>
      </c>
      <c r="BA90" s="162" t="s">
        <v>9</v>
      </c>
      <c r="BB90" s="162" t="s">
        <v>9</v>
      </c>
      <c r="BC90" s="162" t="s">
        <v>9</v>
      </c>
      <c r="BD90" s="162" t="s">
        <v>9</v>
      </c>
      <c r="BE90" s="162" t="s">
        <v>9</v>
      </c>
      <c r="BF90" s="162" t="s">
        <v>9</v>
      </c>
      <c r="BG90" s="162" t="s">
        <v>9</v>
      </c>
      <c r="BH90" s="162" t="s">
        <v>9</v>
      </c>
      <c r="BI90" s="162" t="s">
        <v>9</v>
      </c>
      <c r="BJ90" s="162" t="s">
        <v>9</v>
      </c>
      <c r="BK90" s="194"/>
    </row>
    <row r="91" spans="1:63">
      <c r="A91" s="145" t="s">
        <v>364</v>
      </c>
      <c r="B91" s="146" t="s">
        <v>607</v>
      </c>
      <c r="C91" s="146" t="str">
        <f>IF(COUNTIF(Measure_62443_2_1[[#This Row],[G 0.13 Interception of Compromising Interference Signals]:[OPS.1.1.3.8 Manipulation of data and tools during patch and change management]],"X")&gt;0,"X","")</f>
        <v/>
      </c>
      <c r="D91" s="162" t="s">
        <v>9</v>
      </c>
      <c r="E91" s="162" t="s">
        <v>9</v>
      </c>
      <c r="F91" s="162" t="s">
        <v>9</v>
      </c>
      <c r="G91" s="162" t="s">
        <v>9</v>
      </c>
      <c r="H91" s="162" t="s">
        <v>9</v>
      </c>
      <c r="I91" s="162" t="s">
        <v>9</v>
      </c>
      <c r="J91" s="162" t="s">
        <v>9</v>
      </c>
      <c r="K91" s="162" t="s">
        <v>9</v>
      </c>
      <c r="L91" s="162" t="s">
        <v>9</v>
      </c>
      <c r="M91" s="162" t="s">
        <v>9</v>
      </c>
      <c r="N91" s="162" t="s">
        <v>9</v>
      </c>
      <c r="O91" s="162" t="s">
        <v>9</v>
      </c>
      <c r="P91" s="162" t="s">
        <v>9</v>
      </c>
      <c r="Q91" s="162" t="s">
        <v>9</v>
      </c>
      <c r="R91" s="162" t="s">
        <v>9</v>
      </c>
      <c r="S91" s="162" t="s">
        <v>9</v>
      </c>
      <c r="T91" s="162" t="s">
        <v>9</v>
      </c>
      <c r="U91" s="162" t="s">
        <v>9</v>
      </c>
      <c r="V91" s="162" t="s">
        <v>9</v>
      </c>
      <c r="W91" s="162" t="s">
        <v>9</v>
      </c>
      <c r="X91" s="162" t="s">
        <v>9</v>
      </c>
      <c r="Y91" s="162" t="s">
        <v>9</v>
      </c>
      <c r="Z91" s="162" t="s">
        <v>9</v>
      </c>
      <c r="AA91" s="162" t="s">
        <v>9</v>
      </c>
      <c r="AB91" s="162" t="s">
        <v>9</v>
      </c>
      <c r="AC91" s="162" t="s">
        <v>9</v>
      </c>
      <c r="AD91" s="162" t="s">
        <v>9</v>
      </c>
      <c r="AE91" s="162" t="s">
        <v>9</v>
      </c>
      <c r="AF91" s="162" t="s">
        <v>9</v>
      </c>
      <c r="AG91" s="162" t="s">
        <v>9</v>
      </c>
      <c r="AH91" s="162" t="s">
        <v>9</v>
      </c>
      <c r="AI91" s="162" t="s">
        <v>9</v>
      </c>
      <c r="AJ91" s="162" t="s">
        <v>9</v>
      </c>
      <c r="AK91" s="162" t="s">
        <v>9</v>
      </c>
      <c r="AL91" s="162" t="s">
        <v>9</v>
      </c>
      <c r="AM91" s="162" t="s">
        <v>9</v>
      </c>
      <c r="AN91" s="162" t="s">
        <v>9</v>
      </c>
      <c r="AO91" s="162" t="s">
        <v>9</v>
      </c>
      <c r="AP91" s="162" t="s">
        <v>9</v>
      </c>
      <c r="AQ91" s="162" t="s">
        <v>9</v>
      </c>
      <c r="AR91" s="162" t="s">
        <v>9</v>
      </c>
      <c r="AS91" s="162" t="s">
        <v>9</v>
      </c>
      <c r="AT91" s="162" t="s">
        <v>9</v>
      </c>
      <c r="AU91" s="162" t="s">
        <v>9</v>
      </c>
      <c r="AV91" s="162" t="s">
        <v>9</v>
      </c>
      <c r="AW91" s="162" t="s">
        <v>9</v>
      </c>
      <c r="AX91" s="162" t="s">
        <v>9</v>
      </c>
      <c r="AY91" s="162" t="s">
        <v>9</v>
      </c>
      <c r="AZ91" s="162" t="s">
        <v>9</v>
      </c>
      <c r="BA91" s="162" t="s">
        <v>9</v>
      </c>
      <c r="BB91" s="162" t="s">
        <v>9</v>
      </c>
      <c r="BC91" s="162" t="s">
        <v>9</v>
      </c>
      <c r="BD91" s="162" t="s">
        <v>9</v>
      </c>
      <c r="BE91" s="162" t="s">
        <v>9</v>
      </c>
      <c r="BF91" s="162" t="s">
        <v>9</v>
      </c>
      <c r="BG91" s="162" t="s">
        <v>9</v>
      </c>
      <c r="BH91" s="162" t="s">
        <v>9</v>
      </c>
      <c r="BI91" s="162" t="s">
        <v>9</v>
      </c>
      <c r="BJ91" s="162" t="s">
        <v>9</v>
      </c>
      <c r="BK91" s="194"/>
    </row>
    <row r="92" spans="1:63">
      <c r="A92" s="145" t="s">
        <v>365</v>
      </c>
      <c r="B92" s="146" t="s">
        <v>607</v>
      </c>
      <c r="C92" s="146" t="str">
        <f>IF(COUNTIF(Measure_62443_2_1[[#This Row],[G 0.13 Interception of Compromising Interference Signals]:[OPS.1.1.3.8 Manipulation of data and tools during patch and change management]],"X")&gt;0,"X","")</f>
        <v/>
      </c>
      <c r="D92" s="162" t="s">
        <v>9</v>
      </c>
      <c r="E92" s="162" t="s">
        <v>9</v>
      </c>
      <c r="F92" s="162" t="s">
        <v>9</v>
      </c>
      <c r="G92" s="162" t="s">
        <v>9</v>
      </c>
      <c r="H92" s="162" t="s">
        <v>9</v>
      </c>
      <c r="I92" s="162" t="s">
        <v>9</v>
      </c>
      <c r="J92" s="162" t="s">
        <v>9</v>
      </c>
      <c r="K92" s="162" t="s">
        <v>9</v>
      </c>
      <c r="L92" s="162" t="s">
        <v>9</v>
      </c>
      <c r="M92" s="162" t="s">
        <v>9</v>
      </c>
      <c r="N92" s="162" t="s">
        <v>9</v>
      </c>
      <c r="O92" s="162" t="s">
        <v>9</v>
      </c>
      <c r="P92" s="162" t="s">
        <v>9</v>
      </c>
      <c r="Q92" s="162" t="s">
        <v>9</v>
      </c>
      <c r="R92" s="162" t="s">
        <v>9</v>
      </c>
      <c r="S92" s="162" t="s">
        <v>9</v>
      </c>
      <c r="T92" s="162" t="s">
        <v>9</v>
      </c>
      <c r="U92" s="162" t="s">
        <v>9</v>
      </c>
      <c r="V92" s="162" t="s">
        <v>9</v>
      </c>
      <c r="W92" s="162" t="s">
        <v>9</v>
      </c>
      <c r="X92" s="162" t="s">
        <v>9</v>
      </c>
      <c r="Y92" s="162" t="s">
        <v>9</v>
      </c>
      <c r="Z92" s="162" t="s">
        <v>9</v>
      </c>
      <c r="AA92" s="162" t="s">
        <v>9</v>
      </c>
      <c r="AB92" s="162" t="s">
        <v>9</v>
      </c>
      <c r="AC92" s="162" t="s">
        <v>9</v>
      </c>
      <c r="AD92" s="162" t="s">
        <v>9</v>
      </c>
      <c r="AE92" s="162" t="s">
        <v>9</v>
      </c>
      <c r="AF92" s="162" t="s">
        <v>9</v>
      </c>
      <c r="AG92" s="162" t="s">
        <v>9</v>
      </c>
      <c r="AH92" s="162" t="s">
        <v>9</v>
      </c>
      <c r="AI92" s="162" t="s">
        <v>9</v>
      </c>
      <c r="AJ92" s="162" t="s">
        <v>9</v>
      </c>
      <c r="AK92" s="162" t="s">
        <v>9</v>
      </c>
      <c r="AL92" s="162" t="s">
        <v>9</v>
      </c>
      <c r="AM92" s="162" t="s">
        <v>9</v>
      </c>
      <c r="AN92" s="162" t="s">
        <v>9</v>
      </c>
      <c r="AO92" s="162" t="s">
        <v>9</v>
      </c>
      <c r="AP92" s="162" t="s">
        <v>9</v>
      </c>
      <c r="AQ92" s="162" t="s">
        <v>9</v>
      </c>
      <c r="AR92" s="162" t="s">
        <v>9</v>
      </c>
      <c r="AS92" s="162" t="s">
        <v>9</v>
      </c>
      <c r="AT92" s="162" t="s">
        <v>9</v>
      </c>
      <c r="AU92" s="162" t="s">
        <v>9</v>
      </c>
      <c r="AV92" s="162" t="s">
        <v>9</v>
      </c>
      <c r="AW92" s="162" t="s">
        <v>9</v>
      </c>
      <c r="AX92" s="162" t="s">
        <v>9</v>
      </c>
      <c r="AY92" s="162" t="s">
        <v>9</v>
      </c>
      <c r="AZ92" s="162" t="s">
        <v>9</v>
      </c>
      <c r="BA92" s="162" t="s">
        <v>9</v>
      </c>
      <c r="BB92" s="162" t="s">
        <v>9</v>
      </c>
      <c r="BC92" s="162" t="s">
        <v>9</v>
      </c>
      <c r="BD92" s="162" t="s">
        <v>9</v>
      </c>
      <c r="BE92" s="162" t="s">
        <v>9</v>
      </c>
      <c r="BF92" s="162" t="s">
        <v>9</v>
      </c>
      <c r="BG92" s="162" t="s">
        <v>9</v>
      </c>
      <c r="BH92" s="162" t="s">
        <v>9</v>
      </c>
      <c r="BI92" s="162" t="s">
        <v>9</v>
      </c>
      <c r="BJ92" s="162" t="s">
        <v>9</v>
      </c>
      <c r="BK92" s="194"/>
    </row>
  </sheetData>
  <mergeCells count="1">
    <mergeCell ref="A1:T1"/>
  </mergeCells>
  <conditionalFormatting sqref="D3:BJ3">
    <cfRule type="expression" dxfId="12" priority="15">
      <formula>#REF!="Yes"</formula>
    </cfRule>
  </conditionalFormatting>
  <dataValidations count="1">
    <dataValidation type="list" allowBlank="1" showInputMessage="1" showErrorMessage="1" sqref="D4:BJ92" xr:uid="{00000000-0002-0000-0600-000000000000}">
      <formula1>"-,X"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20">
    <tabColor rgb="FFFF0000"/>
  </sheetPr>
  <dimension ref="A1:AK64"/>
  <sheetViews>
    <sheetView zoomScaleNormal="70" workbookViewId="0">
      <pane xSplit="1" ySplit="5" topLeftCell="V6" activePane="bottomRight" state="frozen"/>
      <selection pane="topRight" activeCell="B1" sqref="B1"/>
      <selection pane="bottomLeft" activeCell="A4" sqref="A4"/>
      <selection pane="bottomRight" activeCell="S6" sqref="S6"/>
    </sheetView>
  </sheetViews>
  <sheetFormatPr baseColWidth="10" defaultColWidth="11.5546875" defaultRowHeight="14.4"/>
  <cols>
    <col min="1" max="1" width="40.5546875" style="71" customWidth="1"/>
    <col min="2" max="2" width="11" style="71" bestFit="1" customWidth="1"/>
    <col min="3" max="3" width="24.44140625" style="71" customWidth="1"/>
    <col min="4" max="4" width="26.6640625" style="71" customWidth="1"/>
    <col min="5" max="7" width="33.33203125" style="71" customWidth="1"/>
    <col min="8" max="9" width="11.6640625" style="71" customWidth="1"/>
    <col min="10" max="11" width="15.6640625" style="71" customWidth="1"/>
    <col min="12" max="12" width="10.33203125" style="71" hidden="1" customWidth="1"/>
    <col min="13" max="13" width="10.109375" style="71" hidden="1" customWidth="1"/>
    <col min="14" max="14" width="13.33203125" style="71" customWidth="1"/>
    <col min="15" max="16" width="8.6640625" style="118" customWidth="1"/>
    <col min="17" max="17" width="14" style="71" customWidth="1"/>
    <col min="18" max="18" width="12.6640625" style="71" customWidth="1"/>
    <col min="19" max="20" width="33.33203125" style="71" customWidth="1"/>
    <col min="21" max="21" width="11.6640625" style="71" customWidth="1"/>
    <col min="22" max="22" width="15.6640625" style="71" customWidth="1"/>
    <col min="23" max="23" width="13.33203125" style="71" customWidth="1"/>
    <col min="24" max="24" width="8.6640625" style="71" customWidth="1"/>
    <col min="25" max="25" width="15.6640625" style="71" customWidth="1"/>
    <col min="26" max="26" width="12.6640625" style="71" customWidth="1"/>
    <col min="27" max="29" width="33.33203125" style="71" customWidth="1"/>
    <col min="30" max="30" width="11.6640625" style="71" customWidth="1"/>
    <col min="31" max="31" width="15.6640625" style="71" customWidth="1"/>
    <col min="32" max="32" width="13.33203125" style="71" customWidth="1"/>
    <col min="33" max="33" width="8.6640625" style="71" customWidth="1"/>
    <col min="34" max="35" width="12.6640625" style="71" customWidth="1"/>
    <col min="36" max="36" width="27.109375" style="71" customWidth="1"/>
    <col min="37" max="37" width="67.44140625" style="71" customWidth="1"/>
    <col min="38" max="39" width="11.5546875" style="71" customWidth="1"/>
    <col min="40" max="16384" width="11.5546875" style="71"/>
  </cols>
  <sheetData>
    <row r="1" spans="1:37" ht="15.6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75"/>
      <c r="AD1" s="66"/>
      <c r="AE1" s="66"/>
      <c r="AF1" s="66"/>
      <c r="AG1" s="66"/>
      <c r="AH1" s="66"/>
      <c r="AI1" s="67"/>
      <c r="AJ1" s="67"/>
      <c r="AK1" s="68"/>
    </row>
    <row r="2" spans="1:37" ht="15" thickBot="1">
      <c r="A2" s="156" t="s">
        <v>366</v>
      </c>
      <c r="B2" s="157" t="str">
        <f>'SL-T'!B18</f>
        <v>Low</v>
      </c>
      <c r="C2" s="62"/>
      <c r="D2" s="62"/>
      <c r="E2" s="268" t="s">
        <v>367</v>
      </c>
      <c r="F2" s="268"/>
      <c r="G2" s="268"/>
      <c r="H2" s="258" t="s">
        <v>368</v>
      </c>
      <c r="I2" s="259"/>
      <c r="J2" s="260"/>
      <c r="K2" s="260"/>
      <c r="L2" s="260"/>
      <c r="M2" s="260"/>
      <c r="N2" s="260"/>
      <c r="O2" s="261"/>
      <c r="P2" s="261"/>
      <c r="Q2" s="262"/>
      <c r="R2" s="63"/>
      <c r="S2" s="64"/>
      <c r="T2" s="64"/>
      <c r="U2" s="65"/>
      <c r="V2" s="65"/>
      <c r="W2" s="65"/>
      <c r="X2" s="65"/>
      <c r="Y2" s="65"/>
      <c r="Z2" s="65"/>
      <c r="AA2" s="265" t="s">
        <v>369</v>
      </c>
      <c r="AB2" s="266"/>
      <c r="AC2" s="75"/>
      <c r="AD2" s="66"/>
      <c r="AE2" s="66"/>
      <c r="AF2" s="66"/>
      <c r="AG2" s="66"/>
      <c r="AH2" s="66"/>
      <c r="AI2" s="67"/>
      <c r="AJ2" s="67"/>
      <c r="AK2" s="68"/>
    </row>
    <row r="3" spans="1:37" ht="15" thickBot="1">
      <c r="A3" s="62"/>
      <c r="B3" s="62"/>
      <c r="C3" s="62"/>
      <c r="D3" s="62"/>
      <c r="E3" s="268"/>
      <c r="F3" s="268"/>
      <c r="G3" s="268"/>
      <c r="H3" s="258"/>
      <c r="I3" s="259"/>
      <c r="J3" s="263"/>
      <c r="K3" s="263"/>
      <c r="L3" s="263"/>
      <c r="M3" s="263"/>
      <c r="N3" s="263"/>
      <c r="O3" s="264"/>
      <c r="P3" s="264"/>
      <c r="Q3" s="263"/>
      <c r="R3" s="63"/>
      <c r="S3" s="64"/>
      <c r="T3" s="64"/>
      <c r="U3" s="65"/>
      <c r="V3" s="65"/>
      <c r="W3" s="65"/>
      <c r="X3" s="65"/>
      <c r="Y3" s="65"/>
      <c r="Z3" s="65"/>
      <c r="AA3" s="265"/>
      <c r="AB3" s="267"/>
      <c r="AC3" s="75"/>
      <c r="AD3" s="66"/>
      <c r="AE3" s="66"/>
      <c r="AF3" s="66"/>
      <c r="AG3" s="66"/>
      <c r="AH3" s="66"/>
      <c r="AI3" s="67"/>
      <c r="AJ3" s="67"/>
      <c r="AK3" s="68"/>
    </row>
    <row r="4" spans="1:37" ht="15" thickBot="1">
      <c r="A4" s="252" t="s">
        <v>37</v>
      </c>
      <c r="B4" s="240"/>
      <c r="C4" s="240"/>
      <c r="D4" s="240"/>
      <c r="E4" s="269"/>
      <c r="F4" s="269"/>
      <c r="G4" s="269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69" t="s">
        <v>370</v>
      </c>
      <c r="S4" s="257" t="s">
        <v>371</v>
      </c>
      <c r="T4" s="240"/>
      <c r="U4" s="253" t="s">
        <v>372</v>
      </c>
      <c r="V4" s="254"/>
      <c r="W4" s="254"/>
      <c r="X4" s="254"/>
      <c r="Y4" s="255"/>
      <c r="Z4" s="70" t="s">
        <v>370</v>
      </c>
      <c r="AA4" s="240"/>
      <c r="AB4" s="240"/>
      <c r="AC4" s="159"/>
      <c r="AD4" s="256" t="s">
        <v>373</v>
      </c>
      <c r="AE4" s="254"/>
      <c r="AF4" s="254"/>
      <c r="AG4" s="254"/>
      <c r="AH4" s="254"/>
      <c r="AI4" s="251"/>
      <c r="AJ4" s="251"/>
      <c r="AK4" s="68"/>
    </row>
    <row r="5" spans="1:37" s="61" customFormat="1" ht="43.8" thickBot="1">
      <c r="A5" s="50" t="s">
        <v>374</v>
      </c>
      <c r="B5" s="51" t="s">
        <v>54</v>
      </c>
      <c r="C5" s="51" t="s">
        <v>375</v>
      </c>
      <c r="D5" s="51" t="s">
        <v>376</v>
      </c>
      <c r="E5" s="84" t="s">
        <v>377</v>
      </c>
      <c r="F5" s="84" t="s">
        <v>378</v>
      </c>
      <c r="G5" s="84" t="s">
        <v>572</v>
      </c>
      <c r="H5" s="52" t="s">
        <v>379</v>
      </c>
      <c r="I5" s="52" t="s">
        <v>380</v>
      </c>
      <c r="J5" s="52" t="s">
        <v>381</v>
      </c>
      <c r="K5" s="52" t="s">
        <v>382</v>
      </c>
      <c r="L5" s="173" t="s">
        <v>573</v>
      </c>
      <c r="M5" s="173" t="s">
        <v>574</v>
      </c>
      <c r="N5" s="52" t="s">
        <v>383</v>
      </c>
      <c r="O5" s="53" t="s">
        <v>384</v>
      </c>
      <c r="P5" s="53" t="s">
        <v>385</v>
      </c>
      <c r="Q5" s="52" t="s">
        <v>386</v>
      </c>
      <c r="R5" s="54" t="s">
        <v>387</v>
      </c>
      <c r="S5" s="55" t="s">
        <v>388</v>
      </c>
      <c r="T5" s="55" t="s">
        <v>389</v>
      </c>
      <c r="U5" s="56" t="s">
        <v>390</v>
      </c>
      <c r="V5" s="56" t="s">
        <v>391</v>
      </c>
      <c r="W5" s="56" t="s">
        <v>392</v>
      </c>
      <c r="X5" s="56" t="s">
        <v>393</v>
      </c>
      <c r="Y5" s="56" t="s">
        <v>394</v>
      </c>
      <c r="Z5" s="57" t="s">
        <v>395</v>
      </c>
      <c r="AA5" s="58" t="s">
        <v>396</v>
      </c>
      <c r="AB5" s="58" t="s">
        <v>397</v>
      </c>
      <c r="AC5" s="158" t="s">
        <v>398</v>
      </c>
      <c r="AD5" s="17" t="s">
        <v>399</v>
      </c>
      <c r="AE5" s="17" t="s">
        <v>400</v>
      </c>
      <c r="AF5" s="17" t="s">
        <v>401</v>
      </c>
      <c r="AG5" s="17" t="s">
        <v>571</v>
      </c>
      <c r="AH5" s="17" t="s">
        <v>402</v>
      </c>
      <c r="AI5" s="18" t="s">
        <v>403</v>
      </c>
      <c r="AJ5" s="59" t="s">
        <v>404</v>
      </c>
      <c r="AK5" s="60" t="s">
        <v>405</v>
      </c>
    </row>
    <row r="6" spans="1:37" s="10" customFormat="1" ht="28.8">
      <c r="A6" s="119" t="str">
        <f>Attacker_Threat_Zone[[#This Row],[Threat Name]]</f>
        <v>G 0.13 Interception of Compromising Interference Signals</v>
      </c>
      <c r="B6" s="119" t="str">
        <f>IF(ISBLANK(Attacker_Threat_Zone[[#This Row],[Relevance]]),"No",Attacker_Threat_Zone[[#This Row],[Relevance]])</f>
        <v>Yes</v>
      </c>
      <c r="C6" s="166"/>
      <c r="D6" s="166"/>
      <c r="E6" s="120" t="str">
        <f>VLOOKUP(Risk_Evaluation[[#This Row],[Threat Catalogue]],_3_3_OVERVIEW_PRE!$A$7:$B$66,2,FALSE)</f>
        <v/>
      </c>
      <c r="F6" s="171"/>
      <c r="G6" s="171"/>
      <c r="H6" s="127">
        <f>IF(ISBLANK(Attacker_Threat_Zone[[#This Row],[Exposure]]),"",Attacker_Threat_Zone[[#This Row],[Exposure]])</f>
        <v>1</v>
      </c>
      <c r="I6" s="174">
        <v>2</v>
      </c>
      <c r="J6" s="127">
        <f>IF(ISBLANK(Attacker_Threat_Zone[[#This Row],[Vulnerability]]),"",Attacker_Threat_Zone[[#This Row],[Vulnerability]])</f>
        <v>1</v>
      </c>
      <c r="K6" s="174">
        <v>2</v>
      </c>
      <c r="L6" s="128">
        <f>IF(Risk_Evaluation[[#This Row],[Exposure - G-6b]]&lt;&gt;"",MIN(Risk_Evaluation[[#This Row],[Exposure - G-6b]:[Exposure - 
G-6b
Override]]),"")</f>
        <v>1</v>
      </c>
      <c r="M6" s="128">
        <f>IF(Risk_Evaluation[[#This Row],[Vulnerability - 
G-6b]]&lt;&gt;"",MIN(Risk_Evaluation[[#This Row],[Vulnerability - 
G-6b]:[Vulnerability - 
G-6b
Override]]),"")</f>
        <v>1</v>
      </c>
      <c r="N6" s="128">
        <f>IF(COUNT(Risk_Evaluation[[#This Row],[Exp min]:[Vul min]])=2,Risk_Evaluation[[#This Row],[Exp min]]+Risk_Evaluation[[#This Row],[Vul min]]-1,"")</f>
        <v>1</v>
      </c>
      <c r="O6" s="128" t="str">
        <f>Attacker_Threat_Zone[[#This Row],[Impact
Max]]</f>
        <v>A</v>
      </c>
      <c r="P6" s="174" t="s">
        <v>84</v>
      </c>
      <c r="Q6" s="121" t="str" cm="1">
        <f t="array" ref="Q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Low</v>
      </c>
      <c r="R6" s="128">
        <f>IF(OR('SL-T'!$B$18="",Risk_Evaluation[[#This Row],[Actual Risk - 
G-6b]]=""),0,VLOOKUP(Risk_Evaluation[[#This Row],[Actual Risk - 
G-6b]],_DATA!$H$3:$I$7,2,FALSE)-VLOOKUP('SL-T'!$B$18,_DATA!$H$3:$I$7,2,FALSE))</f>
        <v>0</v>
      </c>
      <c r="S6" s="122" t="str">
        <f>VLOOKUP(Risk_Evaluation[[#This Row],[Threat Catalogue]],_3_3_OVERVIEW_MITIGATING!$A$7:$B$66,2,FALSE)</f>
        <v/>
      </c>
      <c r="T6" s="177"/>
      <c r="U6" s="174">
        <v>2</v>
      </c>
      <c r="V6" s="174">
        <v>1</v>
      </c>
      <c r="W6" s="129">
        <f>IF(OR(Risk_Evaluation[[#This Row],[Exposure - G-6d]]="",Risk_Evaluation[[#This Row],[Vulnerability - 
G-6d]]=""),"",Risk_Evaluation[[#This Row],[Exposure - G-6d]]+Risk_Evaluation[[#This Row],[Vulnerability - 
G-6d]]-1)</f>
        <v>2</v>
      </c>
      <c r="X6" s="174" t="s">
        <v>82</v>
      </c>
      <c r="Y6" s="123" t="str" cm="1">
        <f t="array" ref="Y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>Significant</v>
      </c>
      <c r="Z6" s="129">
        <f>IF(OR('SL-T'!$B$18="",Risk_Evaluation[[#This Row],[Actual Risk - 
G-6d]]=""),0,VLOOKUP(Risk_Evaluation[[#This Row],[Actual Risk - 
G-6d]],_DATA!$H$3:$I$7,2,FALSE)-VLOOKUP('SL-T'!$B$18,_DATA!$H$3:$I$7,2,FALSE))</f>
        <v>2</v>
      </c>
      <c r="AA6" s="124" t="str">
        <f>VLOOKUP(Risk_Evaluation[[#This Row],[Threat Catalogue]],_2_1_OVERVIEW!$A$7:$B$66,2,FALSE)</f>
        <v>COMP 1.1</v>
      </c>
      <c r="AB6" s="181"/>
      <c r="AC6" s="182"/>
      <c r="AD6" s="174">
        <v>3</v>
      </c>
      <c r="AE6" s="174">
        <v>1</v>
      </c>
      <c r="AF6" s="130">
        <f>IF(OR(Risk_Evaluation[[#This Row],[Exposure - 
G-6f]]="",Risk_Evaluation[[#This Row],[Vulnerability - 
G-6f]]=""),"",Risk_Evaluation[[#This Row],[Exposure - 
G-6f]]+Risk_Evaluation[[#This Row],[Vulnerability - 
G-6f]]-1)</f>
        <v>3</v>
      </c>
      <c r="AG6" s="175" t="s">
        <v>86</v>
      </c>
      <c r="AH6" s="125" t="str" cm="1">
        <f t="array" ref="AH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>Significant</v>
      </c>
      <c r="AI6" s="132">
        <f>IF(OR('SL-T'!$B$18="",Risk_Evaluation[[#This Row],[Actual Risk - 
G-6f]]=""),0,VLOOKUP(Risk_Evaluation[[#This Row],[Actual Risk - 
G-6f]],_DATA!$H$3:$I$7,2,FALSE)-VLOOKUP('SL-T'!$B$18,_DATA!$H$3:$I$7,2,FALSE))</f>
        <v>2</v>
      </c>
      <c r="AJ6" s="185"/>
      <c r="AK6" s="186"/>
    </row>
    <row r="7" spans="1:37" s="10" customFormat="1">
      <c r="A7" s="126" t="str">
        <f>Attacker_Threat_Zone[[#This Row],[Threat Name]]</f>
        <v xml:space="preserve">G 0.14 Interception of Information / Espionage </v>
      </c>
      <c r="B7" s="119" t="str">
        <f>IF(ISBLANK(Attacker_Threat_Zone[[#This Row],[Relevance]]),"No",Attacker_Threat_Zone[[#This Row],[Relevance]])</f>
        <v>Yes</v>
      </c>
      <c r="C7" s="167"/>
      <c r="D7" s="167"/>
      <c r="E7" s="120" t="str">
        <f>VLOOKUP(Risk_Evaluation[[#This Row],[Threat Catalogue]],_3_3_OVERVIEW_PRE!$A$7:$B$66,2,FALSE)</f>
        <v/>
      </c>
      <c r="F7" s="171"/>
      <c r="G7" s="171"/>
      <c r="H7" s="127">
        <f>IF(ISBLANK(Attacker_Threat_Zone[[#This Row],[Exposure]]),"",Attacker_Threat_Zone[[#This Row],[Exposure]])</f>
        <v>3</v>
      </c>
      <c r="I7" s="175">
        <v>2</v>
      </c>
      <c r="J7" s="127">
        <f>IF(ISBLANK(Attacker_Threat_Zone[[#This Row],[Vulnerability]]),"",Attacker_Threat_Zone[[#This Row],[Vulnerability]])</f>
        <v>3</v>
      </c>
      <c r="K7" s="175">
        <v>3</v>
      </c>
      <c r="L7" s="128">
        <f>IF(Risk_Evaluation[[#This Row],[Exposure - G-6b]]&lt;&gt;"",MIN(Risk_Evaluation[[#This Row],[Exposure - G-6b]:[Exposure - 
G-6b
Override]]),"")</f>
        <v>2</v>
      </c>
      <c r="M7" s="128">
        <f>IF(Risk_Evaluation[[#This Row],[Vulnerability - 
G-6b]]&lt;&gt;"",MIN(Risk_Evaluation[[#This Row],[Vulnerability - 
G-6b]:[Vulnerability - 
G-6b
Override]]),"")</f>
        <v>3</v>
      </c>
      <c r="N7" s="128">
        <f>IF(COUNT(Risk_Evaluation[[#This Row],[Exp min]:[Vul min]])=2,Risk_Evaluation[[#This Row],[Exp min]]+Risk_Evaluation[[#This Row],[Vul min]]-1,"")</f>
        <v>4</v>
      </c>
      <c r="O7" s="128" t="str">
        <f>Attacker_Threat_Zone[[#This Row],[Impact
Max]]</f>
        <v>B</v>
      </c>
      <c r="P7" s="175"/>
      <c r="Q7" s="121" t="str" cm="1">
        <f t="array" ref="Q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High</v>
      </c>
      <c r="R7" s="128">
        <f>IF(OR('SL-T'!$B$18="",Risk_Evaluation[[#This Row],[Actual Risk - 
G-6b]]=""),0,VLOOKUP(Risk_Evaluation[[#This Row],[Actual Risk - 
G-6b]],_DATA!$H$3:$I$7,2,FALSE)-VLOOKUP('SL-T'!$B$18,_DATA!$H$3:$I$7,2,FALSE))</f>
        <v>3</v>
      </c>
      <c r="S7" s="122" t="str">
        <f>VLOOKUP(Risk_Evaluation[[#This Row],[Threat Catalogue]],_3_3_OVERVIEW_MITIGATING!$A$7:$B$66,2,FALSE)</f>
        <v/>
      </c>
      <c r="T7" s="177"/>
      <c r="U7" s="175">
        <v>2</v>
      </c>
      <c r="V7" s="175">
        <v>3</v>
      </c>
      <c r="W7" s="179">
        <f>IF(OR(Risk_Evaluation[[#This Row],[Exposure - G-6d]]="",Risk_Evaluation[[#This Row],[Vulnerability - 
G-6d]]=""),"",Risk_Evaluation[[#This Row],[Exposure - G-6d]]+Risk_Evaluation[[#This Row],[Vulnerability - 
G-6d]]-1)</f>
        <v>4</v>
      </c>
      <c r="X7" s="175"/>
      <c r="Y7" s="123" t="str" cm="1">
        <f t="array" ref="Y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7" s="129">
        <f>IF(OR('SL-T'!$B$18="",Risk_Evaluation[[#This Row],[Actual Risk - 
G-6d]]=""),0,VLOOKUP(Risk_Evaluation[[#This Row],[Actual Risk - 
G-6d]],_DATA!$H$3:$I$7,2,FALSE)-VLOOKUP('SL-T'!$B$18,_DATA!$H$3:$I$7,2,FALSE))</f>
        <v>0</v>
      </c>
      <c r="AA7" s="124" t="str">
        <f>VLOOKUP(Risk_Evaluation[[#This Row],[Threat Catalogue]],_2_1_OVERVIEW!$A$7:$B$66,2,FALSE)</f>
        <v/>
      </c>
      <c r="AB7" s="181"/>
      <c r="AC7" s="182"/>
      <c r="AD7" s="175">
        <v>2</v>
      </c>
      <c r="AE7" s="175">
        <v>3</v>
      </c>
      <c r="AF7" s="131">
        <f>IF(OR(Risk_Evaluation[[#This Row],[Exposure - 
G-6f]]="",Risk_Evaluation[[#This Row],[Vulnerability - 
G-6f]]=""),"",Risk_Evaluation[[#This Row],[Exposure - 
G-6f]]+Risk_Evaluation[[#This Row],[Vulnerability - 
G-6f]]-1)</f>
        <v>4</v>
      </c>
      <c r="AG7" s="175"/>
      <c r="AH7" s="125" t="str" cm="1">
        <f t="array" ref="AH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7" s="132">
        <f>IF(OR('SL-T'!$B$18="",Risk_Evaluation[[#This Row],[Actual Risk - 
G-6f]]=""),0,VLOOKUP(Risk_Evaluation[[#This Row],[Actual Risk - 
G-6f]],_DATA!$H$3:$I$7,2,FALSE)-VLOOKUP('SL-T'!$B$18,_DATA!$H$3:$I$7,2,FALSE))</f>
        <v>0</v>
      </c>
      <c r="AJ7" s="187"/>
      <c r="AK7" s="188"/>
    </row>
    <row r="8" spans="1:37" s="10" customFormat="1">
      <c r="A8" s="126" t="str">
        <f>Attacker_Threat_Zone[[#This Row],[Threat Name]]</f>
        <v>G 0.15 Eavesdropping</v>
      </c>
      <c r="B8" s="119" t="str">
        <f>IF(ISBLANK(Attacker_Threat_Zone[[#This Row],[Relevance]]),"No",Attacker_Threat_Zone[[#This Row],[Relevance]])</f>
        <v>Yes</v>
      </c>
      <c r="C8" s="167"/>
      <c r="D8" s="167"/>
      <c r="E8" s="120" t="str">
        <f>VLOOKUP(Risk_Evaluation[[#This Row],[Threat Catalogue]],_3_3_OVERVIEW_PRE!$A$7:$B$66,2,FALSE)</f>
        <v/>
      </c>
      <c r="F8" s="171"/>
      <c r="G8" s="171"/>
      <c r="H8" s="127" t="str">
        <f>IF(ISBLANK(Attacker_Threat_Zone[[#This Row],[Exposure]]),"",Attacker_Threat_Zone[[#This Row],[Exposure]])</f>
        <v/>
      </c>
      <c r="I8" s="175"/>
      <c r="J8" s="127" t="str">
        <f>IF(ISBLANK(Attacker_Threat_Zone[[#This Row],[Vulnerability]]),"",Attacker_Threat_Zone[[#This Row],[Vulnerability]])</f>
        <v/>
      </c>
      <c r="K8" s="175"/>
      <c r="L8" s="128" t="str">
        <f>IF(Risk_Evaluation[[#This Row],[Exposure - G-6b]]&lt;&gt;"",MIN(Risk_Evaluation[[#This Row],[Exposure - G-6b]:[Exposure - 
G-6b
Override]]),"")</f>
        <v/>
      </c>
      <c r="M8" s="128" t="str">
        <f>IF(Risk_Evaluation[[#This Row],[Vulnerability - 
G-6b]]&lt;&gt;"",MIN(Risk_Evaluation[[#This Row],[Vulnerability - 
G-6b]:[Vulnerability - 
G-6b
Override]]),"")</f>
        <v/>
      </c>
      <c r="N8" s="128" t="str">
        <f>IF(COUNT(Risk_Evaluation[[#This Row],[Exp min]:[Vul min]])=2,Risk_Evaluation[[#This Row],[Exp min]]+Risk_Evaluation[[#This Row],[Vul min]]-1,"")</f>
        <v/>
      </c>
      <c r="O8" s="128" t="str">
        <f>Attacker_Threat_Zone[[#This Row],[Impact
Max]]</f>
        <v>B</v>
      </c>
      <c r="P8" s="175"/>
      <c r="Q8" s="121" t="str" cm="1">
        <f t="array" ref="Q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8" s="128">
        <f>IF(OR('SL-T'!$B$18="",Risk_Evaluation[[#This Row],[Actual Risk - 
G-6b]]=""),0,VLOOKUP(Risk_Evaluation[[#This Row],[Actual Risk - 
G-6b]],_DATA!$H$3:$I$7,2,FALSE)-VLOOKUP('SL-T'!$B$18,_DATA!$H$3:$I$7,2,FALSE))</f>
        <v>0</v>
      </c>
      <c r="S8" s="122" t="str">
        <f>VLOOKUP(Risk_Evaluation[[#This Row],[Threat Catalogue]],_3_3_OVERVIEW_MITIGATING!$A$7:$B$66,2,FALSE)</f>
        <v/>
      </c>
      <c r="T8" s="177"/>
      <c r="U8" s="175"/>
      <c r="V8" s="175"/>
      <c r="W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8" s="175"/>
      <c r="Y8" s="123" t="str" cm="1">
        <f t="array" ref="Y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8" s="129">
        <f>IF(OR('SL-T'!$B$18="",Risk_Evaluation[[#This Row],[Actual Risk - 
G-6d]]=""),0,VLOOKUP(Risk_Evaluation[[#This Row],[Actual Risk - 
G-6d]],_DATA!$H$3:$I$7,2,FALSE)-VLOOKUP('SL-T'!$B$18,_DATA!$H$3:$I$7,2,FALSE))</f>
        <v>0</v>
      </c>
      <c r="AA8" s="124" t="str">
        <f>VLOOKUP(Risk_Evaluation[[#This Row],[Threat Catalogue]],_2_1_OVERVIEW!$A$7:$B$66,2,FALSE)</f>
        <v/>
      </c>
      <c r="AB8" s="181"/>
      <c r="AC8" s="182"/>
      <c r="AD8" s="175"/>
      <c r="AE8" s="175"/>
      <c r="AF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8" s="175"/>
      <c r="AH8" s="125" t="str" cm="1">
        <f t="array" ref="AH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8" s="132">
        <f>IF(OR('SL-T'!$B$18="",Risk_Evaluation[[#This Row],[Actual Risk - 
G-6f]]=""),0,VLOOKUP(Risk_Evaluation[[#This Row],[Actual Risk - 
G-6f]],_DATA!$H$3:$I$7,2,FALSE)-VLOOKUP('SL-T'!$B$18,_DATA!$H$3:$I$7,2,FALSE))</f>
        <v>0</v>
      </c>
      <c r="AJ8" s="187"/>
      <c r="AK8" s="188"/>
    </row>
    <row r="9" spans="1:37" s="10" customFormat="1" ht="28.8">
      <c r="A9" s="126" t="str">
        <f>Attacker_Threat_Zone[[#This Row],[Threat Name]]</f>
        <v>G 0.16 Theft of Devices, Storage Media and Documents</v>
      </c>
      <c r="B9" s="119" t="str">
        <f>IF(ISBLANK(Attacker_Threat_Zone[[#This Row],[Relevance]]),"No",Attacker_Threat_Zone[[#This Row],[Relevance]])</f>
        <v>Yes</v>
      </c>
      <c r="C9" s="167"/>
      <c r="D9" s="167"/>
      <c r="E9" s="120" t="str">
        <f>VLOOKUP(Risk_Evaluation[[#This Row],[Threat Catalogue]],_3_3_OVERVIEW_PRE!$A$7:$B$66,2,FALSE)</f>
        <v/>
      </c>
      <c r="F9" s="171"/>
      <c r="G9" s="171"/>
      <c r="H9" s="127">
        <f>IF(ISBLANK(Attacker_Threat_Zone[[#This Row],[Exposure]]),"",Attacker_Threat_Zone[[#This Row],[Exposure]])</f>
        <v>3</v>
      </c>
      <c r="I9" s="175"/>
      <c r="J9" s="127">
        <f>IF(ISBLANK(Attacker_Threat_Zone[[#This Row],[Vulnerability]]),"",Attacker_Threat_Zone[[#This Row],[Vulnerability]])</f>
        <v>3</v>
      </c>
      <c r="K9" s="175"/>
      <c r="L9" s="128">
        <f>IF(Risk_Evaluation[[#This Row],[Exposure - G-6b]]&lt;&gt;"",MIN(Risk_Evaluation[[#This Row],[Exposure - G-6b]:[Exposure - 
G-6b
Override]]),"")</f>
        <v>3</v>
      </c>
      <c r="M9" s="128">
        <f>IF(Risk_Evaluation[[#This Row],[Vulnerability - 
G-6b]]&lt;&gt;"",MIN(Risk_Evaluation[[#This Row],[Vulnerability - 
G-6b]:[Vulnerability - 
G-6b
Override]]),"")</f>
        <v>3</v>
      </c>
      <c r="N9" s="128">
        <f>IF(COUNT(Risk_Evaluation[[#This Row],[Exp min]:[Vul min]])=2,Risk_Evaluation[[#This Row],[Exp min]]+Risk_Evaluation[[#This Row],[Vul min]]-1,"")</f>
        <v>5</v>
      </c>
      <c r="O9" s="128" t="str">
        <f>Attacker_Threat_Zone[[#This Row],[Impact
Max]]</f>
        <v>A</v>
      </c>
      <c r="P9" s="175"/>
      <c r="Q9" s="121" t="str" cm="1">
        <f t="array" ref="Q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Very high</v>
      </c>
      <c r="R9" s="128">
        <f>IF(OR('SL-T'!$B$18="",Risk_Evaluation[[#This Row],[Actual Risk - 
G-6b]]=""),0,VLOOKUP(Risk_Evaluation[[#This Row],[Actual Risk - 
G-6b]],_DATA!$H$3:$I$7,2,FALSE)-VLOOKUP('SL-T'!$B$18,_DATA!$H$3:$I$7,2,FALSE))</f>
        <v>4</v>
      </c>
      <c r="S9" s="122" t="str">
        <f>VLOOKUP(Risk_Evaluation[[#This Row],[Threat Catalogue]],_3_3_OVERVIEW_MITIGATING!$A$7:$B$66,2,FALSE)</f>
        <v/>
      </c>
      <c r="T9" s="177"/>
      <c r="U9" s="175"/>
      <c r="V9" s="175"/>
      <c r="W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9" s="175"/>
      <c r="Y9" s="123" t="str" cm="1">
        <f t="array" ref="Y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9" s="129">
        <f>IF(OR('SL-T'!$B$18="",Risk_Evaluation[[#This Row],[Actual Risk - 
G-6d]]=""),0,VLOOKUP(Risk_Evaluation[[#This Row],[Actual Risk - 
G-6d]],_DATA!$H$3:$I$7,2,FALSE)-VLOOKUP('SL-T'!$B$18,_DATA!$H$3:$I$7,2,FALSE))</f>
        <v>0</v>
      </c>
      <c r="AA9" s="124" t="str">
        <f>VLOOKUP(Risk_Evaluation[[#This Row],[Threat Catalogue]],_2_1_OVERVIEW!$A$7:$B$66,2,FALSE)</f>
        <v/>
      </c>
      <c r="AB9" s="181"/>
      <c r="AC9" s="182"/>
      <c r="AD9" s="175"/>
      <c r="AE9" s="175"/>
      <c r="AF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9" s="175"/>
      <c r="AH9" s="125" t="str" cm="1">
        <f t="array" ref="AH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9" s="132">
        <f>IF(OR('SL-T'!$B$18="",Risk_Evaluation[[#This Row],[Actual Risk - 
G-6f]]=""),0,VLOOKUP(Risk_Evaluation[[#This Row],[Actual Risk - 
G-6f]],_DATA!$H$3:$I$7,2,FALSE)-VLOOKUP('SL-T'!$B$18,_DATA!$H$3:$I$7,2,FALSE))</f>
        <v>0</v>
      </c>
      <c r="AJ9" s="187"/>
      <c r="AK9" s="188"/>
    </row>
    <row r="10" spans="1:37" s="10" customFormat="1" ht="28.8">
      <c r="A10" s="126" t="str">
        <f>Attacker_Threat_Zone[[#This Row],[Threat Name]]</f>
        <v>G 0.17 Loss of Devices, Storage Media and Documents</v>
      </c>
      <c r="B10" s="119" t="str">
        <f>IF(ISBLANK(Attacker_Threat_Zone[[#This Row],[Relevance]]),"No",Attacker_Threat_Zone[[#This Row],[Relevance]])</f>
        <v>No</v>
      </c>
      <c r="C10" s="167"/>
      <c r="D10" s="167"/>
      <c r="E10" s="120" t="str">
        <f>VLOOKUP(Risk_Evaluation[[#This Row],[Threat Catalogue]],_3_3_OVERVIEW_PRE!$A$7:$B$66,2,FALSE)</f>
        <v/>
      </c>
      <c r="F10" s="171"/>
      <c r="G10" s="171"/>
      <c r="H10" s="127" t="str">
        <f>IF(ISBLANK(Attacker_Threat_Zone[[#This Row],[Exposure]]),"",Attacker_Threat_Zone[[#This Row],[Exposure]])</f>
        <v/>
      </c>
      <c r="I10" s="175"/>
      <c r="J10" s="127" t="str">
        <f>IF(ISBLANK(Attacker_Threat_Zone[[#This Row],[Vulnerability]]),"",Attacker_Threat_Zone[[#This Row],[Vulnerability]])</f>
        <v/>
      </c>
      <c r="K10" s="175"/>
      <c r="L10" s="128" t="str">
        <f>IF(Risk_Evaluation[[#This Row],[Exposure - G-6b]]&lt;&gt;"",MIN(Risk_Evaluation[[#This Row],[Exposure - G-6b]:[Exposure - 
G-6b
Override]]),"")</f>
        <v/>
      </c>
      <c r="M10" s="128" t="str">
        <f>IF(Risk_Evaluation[[#This Row],[Vulnerability - 
G-6b]]&lt;&gt;"",MIN(Risk_Evaluation[[#This Row],[Vulnerability - 
G-6b]:[Vulnerability - 
G-6b
Override]]),"")</f>
        <v/>
      </c>
      <c r="N10" s="128" t="str">
        <f>IF(COUNT(Risk_Evaluation[[#This Row],[Exp min]:[Vul min]])=2,Risk_Evaluation[[#This Row],[Exp min]]+Risk_Evaluation[[#This Row],[Vul min]]-1,"")</f>
        <v/>
      </c>
      <c r="O10" s="128" t="str">
        <f>Attacker_Threat_Zone[[#This Row],[Impact
Max]]</f>
        <v/>
      </c>
      <c r="P10" s="175"/>
      <c r="Q10" s="121" t="str" cm="1">
        <f t="array" ref="Q1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0" s="128">
        <f>IF(OR('SL-T'!$B$18="",Risk_Evaluation[[#This Row],[Actual Risk - 
G-6b]]=""),0,VLOOKUP(Risk_Evaluation[[#This Row],[Actual Risk - 
G-6b]],_DATA!$H$3:$I$7,2,FALSE)-VLOOKUP('SL-T'!$B$18,_DATA!$H$3:$I$7,2,FALSE))</f>
        <v>0</v>
      </c>
      <c r="S10" s="122" t="str">
        <f>VLOOKUP(Risk_Evaluation[[#This Row],[Threat Catalogue]],_3_3_OVERVIEW_MITIGATING!$A$7:$B$66,2,FALSE)</f>
        <v/>
      </c>
      <c r="T10" s="177"/>
      <c r="U10" s="175"/>
      <c r="V10" s="175"/>
      <c r="W1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0" s="175"/>
      <c r="Y10" s="123" t="str" cm="1">
        <f t="array" ref="Y1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0" s="129">
        <f>IF(OR('SL-T'!$B$18="",Risk_Evaluation[[#This Row],[Actual Risk - 
G-6d]]=""),0,VLOOKUP(Risk_Evaluation[[#This Row],[Actual Risk - 
G-6d]],_DATA!$H$3:$I$7,2,FALSE)-VLOOKUP('SL-T'!$B$18,_DATA!$H$3:$I$7,2,FALSE))</f>
        <v>0</v>
      </c>
      <c r="AA10" s="124" t="str">
        <f>VLOOKUP(Risk_Evaluation[[#This Row],[Threat Catalogue]],_2_1_OVERVIEW!$A$7:$B$66,2,FALSE)</f>
        <v/>
      </c>
      <c r="AB10" s="181"/>
      <c r="AC10" s="182"/>
      <c r="AD10" s="175"/>
      <c r="AE10" s="175"/>
      <c r="AF1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0" s="175"/>
      <c r="AH10" s="125" t="str" cm="1">
        <f t="array" ref="AH1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0" s="132">
        <f>IF(OR('SL-T'!$B$18="",Risk_Evaluation[[#This Row],[Actual Risk - 
G-6f]]=""),0,VLOOKUP(Risk_Evaluation[[#This Row],[Actual Risk - 
G-6f]],_DATA!$H$3:$I$7,2,FALSE)-VLOOKUP('SL-T'!$B$18,_DATA!$H$3:$I$7,2,FALSE))</f>
        <v>0</v>
      </c>
      <c r="AJ10" s="187"/>
      <c r="AK10" s="188"/>
    </row>
    <row r="11" spans="1:37" s="10" customFormat="1">
      <c r="A11" s="126" t="str">
        <f>Attacker_Threat_Zone[[#This Row],[Threat Name]]</f>
        <v>G 0.19 Disclosure of Sensitive Information</v>
      </c>
      <c r="B11" s="119" t="str">
        <f>IF(ISBLANK(Attacker_Threat_Zone[[#This Row],[Relevance]]),"No",Attacker_Threat_Zone[[#This Row],[Relevance]])</f>
        <v>No</v>
      </c>
      <c r="C11" s="167"/>
      <c r="D11" s="167"/>
      <c r="E11" s="120" t="str">
        <f>VLOOKUP(Risk_Evaluation[[#This Row],[Threat Catalogue]],_3_3_OVERVIEW_PRE!$A$7:$B$66,2,FALSE)</f>
        <v/>
      </c>
      <c r="F11" s="171"/>
      <c r="G11" s="171"/>
      <c r="H11" s="127" t="str">
        <f>IF(ISBLANK(Attacker_Threat_Zone[[#This Row],[Exposure]]),"",Attacker_Threat_Zone[[#This Row],[Exposure]])</f>
        <v/>
      </c>
      <c r="I11" s="175"/>
      <c r="J11" s="127" t="str">
        <f>IF(ISBLANK(Attacker_Threat_Zone[[#This Row],[Vulnerability]]),"",Attacker_Threat_Zone[[#This Row],[Vulnerability]])</f>
        <v/>
      </c>
      <c r="K11" s="175"/>
      <c r="L11" s="128" t="str">
        <f>IF(Risk_Evaluation[[#This Row],[Exposure - G-6b]]&lt;&gt;"",MIN(Risk_Evaluation[[#This Row],[Exposure - G-6b]:[Exposure - 
G-6b
Override]]),"")</f>
        <v/>
      </c>
      <c r="M11" s="128" t="str">
        <f>IF(Risk_Evaluation[[#This Row],[Vulnerability - 
G-6b]]&lt;&gt;"",MIN(Risk_Evaluation[[#This Row],[Vulnerability - 
G-6b]:[Vulnerability - 
G-6b
Override]]),"")</f>
        <v/>
      </c>
      <c r="N11" s="128" t="str">
        <f>IF(COUNT(Risk_Evaluation[[#This Row],[Exp min]:[Vul min]])=2,Risk_Evaluation[[#This Row],[Exp min]]+Risk_Evaluation[[#This Row],[Vul min]]-1,"")</f>
        <v/>
      </c>
      <c r="O11" s="128" t="str">
        <f>Attacker_Threat_Zone[[#This Row],[Impact
Max]]</f>
        <v/>
      </c>
      <c r="P11" s="175"/>
      <c r="Q11" s="121" t="str" cm="1">
        <f t="array" ref="Q1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1" s="128">
        <f>IF(OR('SL-T'!$B$18="",Risk_Evaluation[[#This Row],[Actual Risk - 
G-6b]]=""),0,VLOOKUP(Risk_Evaluation[[#This Row],[Actual Risk - 
G-6b]],_DATA!$H$3:$I$7,2,FALSE)-VLOOKUP('SL-T'!$B$18,_DATA!$H$3:$I$7,2,FALSE))</f>
        <v>0</v>
      </c>
      <c r="S11" s="122" t="str">
        <f>VLOOKUP(Risk_Evaluation[[#This Row],[Threat Catalogue]],_3_3_OVERVIEW_MITIGATING!$A$7:$B$66,2,FALSE)</f>
        <v/>
      </c>
      <c r="T11" s="177"/>
      <c r="U11" s="175"/>
      <c r="V11" s="175"/>
      <c r="W1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1" s="175"/>
      <c r="Y11" s="123" t="str" cm="1">
        <f t="array" ref="Y1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1" s="129">
        <f>IF(OR('SL-T'!$B$18="",Risk_Evaluation[[#This Row],[Actual Risk - 
G-6d]]=""),0,VLOOKUP(Risk_Evaluation[[#This Row],[Actual Risk - 
G-6d]],_DATA!$H$3:$I$7,2,FALSE)-VLOOKUP('SL-T'!$B$18,_DATA!$H$3:$I$7,2,FALSE))</f>
        <v>0</v>
      </c>
      <c r="AA11" s="124" t="str">
        <f>VLOOKUP(Risk_Evaluation[[#This Row],[Threat Catalogue]],_2_1_OVERVIEW!$A$7:$B$66,2,FALSE)</f>
        <v/>
      </c>
      <c r="AB11" s="181"/>
      <c r="AC11" s="182"/>
      <c r="AD11" s="175"/>
      <c r="AE11" s="175"/>
      <c r="AF1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1" s="175"/>
      <c r="AH11" s="125" t="str" cm="1">
        <f t="array" ref="AH1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1" s="132">
        <f>IF(OR('SL-T'!$B$18="",Risk_Evaluation[[#This Row],[Actual Risk - 
G-6f]]=""),0,VLOOKUP(Risk_Evaluation[[#This Row],[Actual Risk - 
G-6f]],_DATA!$H$3:$I$7,2,FALSE)-VLOOKUP('SL-T'!$B$18,_DATA!$H$3:$I$7,2,FALSE))</f>
        <v>0</v>
      </c>
      <c r="AJ11" s="187"/>
      <c r="AK11" s="188"/>
    </row>
    <row r="12" spans="1:37" s="10" customFormat="1" ht="28.8">
      <c r="A12" s="126" t="str">
        <f>Attacker_Threat_Zone[[#This Row],[Threat Name]]</f>
        <v>G 0.20 Information or Products from an Unreliable Source</v>
      </c>
      <c r="B12" s="119" t="str">
        <f>IF(ISBLANK(Attacker_Threat_Zone[[#This Row],[Relevance]]),"No",Attacker_Threat_Zone[[#This Row],[Relevance]])</f>
        <v>No</v>
      </c>
      <c r="C12" s="167"/>
      <c r="D12" s="167"/>
      <c r="E12" s="120" t="str">
        <f>VLOOKUP(Risk_Evaluation[[#This Row],[Threat Catalogue]],_3_3_OVERVIEW_PRE!$A$7:$B$66,2,FALSE)</f>
        <v/>
      </c>
      <c r="F12" s="171"/>
      <c r="G12" s="171"/>
      <c r="H12" s="127" t="str">
        <f>IF(ISBLANK(Attacker_Threat_Zone[[#This Row],[Exposure]]),"",Attacker_Threat_Zone[[#This Row],[Exposure]])</f>
        <v/>
      </c>
      <c r="I12" s="175"/>
      <c r="J12" s="127" t="str">
        <f>IF(ISBLANK(Attacker_Threat_Zone[[#This Row],[Vulnerability]]),"",Attacker_Threat_Zone[[#This Row],[Vulnerability]])</f>
        <v/>
      </c>
      <c r="K12" s="175"/>
      <c r="L12" s="128" t="str">
        <f>IF(Risk_Evaluation[[#This Row],[Exposure - G-6b]]&lt;&gt;"",MIN(Risk_Evaluation[[#This Row],[Exposure - G-6b]:[Exposure - 
G-6b
Override]]),"")</f>
        <v/>
      </c>
      <c r="M12" s="128" t="str">
        <f>IF(Risk_Evaluation[[#This Row],[Vulnerability - 
G-6b]]&lt;&gt;"",MIN(Risk_Evaluation[[#This Row],[Vulnerability - 
G-6b]:[Vulnerability - 
G-6b
Override]]),"")</f>
        <v/>
      </c>
      <c r="N12" s="128" t="str">
        <f>IF(COUNT(Risk_Evaluation[[#This Row],[Exp min]:[Vul min]])=2,Risk_Evaluation[[#This Row],[Exp min]]+Risk_Evaluation[[#This Row],[Vul min]]-1,"")</f>
        <v/>
      </c>
      <c r="O12" s="128" t="str">
        <f>Attacker_Threat_Zone[[#This Row],[Impact
Max]]</f>
        <v/>
      </c>
      <c r="P12" s="175"/>
      <c r="Q12" s="121" t="str" cm="1">
        <f t="array" ref="Q1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2" s="128">
        <f>IF(OR('SL-T'!$B$18="",Risk_Evaluation[[#This Row],[Actual Risk - 
G-6b]]=""),0,VLOOKUP(Risk_Evaluation[[#This Row],[Actual Risk - 
G-6b]],_DATA!$H$3:$I$7,2,FALSE)-VLOOKUP('SL-T'!$B$18,_DATA!$H$3:$I$7,2,FALSE))</f>
        <v>0</v>
      </c>
      <c r="S12" s="122" t="str">
        <f>VLOOKUP(Risk_Evaluation[[#This Row],[Threat Catalogue]],_3_3_OVERVIEW_MITIGATING!$A$7:$B$66,2,FALSE)</f>
        <v/>
      </c>
      <c r="T12" s="177"/>
      <c r="U12" s="175"/>
      <c r="V12" s="175"/>
      <c r="W1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2" s="175"/>
      <c r="Y12" s="123" t="str" cm="1">
        <f t="array" ref="Y1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2" s="129">
        <f>IF(OR('SL-T'!$B$18="",Risk_Evaluation[[#This Row],[Actual Risk - 
G-6d]]=""),0,VLOOKUP(Risk_Evaluation[[#This Row],[Actual Risk - 
G-6d]],_DATA!$H$3:$I$7,2,FALSE)-VLOOKUP('SL-T'!$B$18,_DATA!$H$3:$I$7,2,FALSE))</f>
        <v>0</v>
      </c>
      <c r="AA12" s="124" t="str">
        <f>VLOOKUP(Risk_Evaluation[[#This Row],[Threat Catalogue]],_2_1_OVERVIEW!$A$7:$B$66,2,FALSE)</f>
        <v/>
      </c>
      <c r="AB12" s="181"/>
      <c r="AC12" s="182"/>
      <c r="AD12" s="175"/>
      <c r="AE12" s="175"/>
      <c r="AF1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2" s="175"/>
      <c r="AH12" s="125" t="str" cm="1">
        <f t="array" ref="AH1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2" s="132">
        <f>IF(OR('SL-T'!$B$18="",Risk_Evaluation[[#This Row],[Actual Risk - 
G-6f]]=""),0,VLOOKUP(Risk_Evaluation[[#This Row],[Actual Risk - 
G-6f]],_DATA!$H$3:$I$7,2,FALSE)-VLOOKUP('SL-T'!$B$18,_DATA!$H$3:$I$7,2,FALSE))</f>
        <v>0</v>
      </c>
      <c r="AJ12" s="187"/>
      <c r="AK12" s="188"/>
    </row>
    <row r="13" spans="1:37" s="10" customFormat="1">
      <c r="A13" s="126" t="str">
        <f>Attacker_Threat_Zone[[#This Row],[Threat Name]]</f>
        <v>G 0.21 Manipulation of Hardware or Software</v>
      </c>
      <c r="B13" s="119" t="str">
        <f>IF(ISBLANK(Attacker_Threat_Zone[[#This Row],[Relevance]]),"No",Attacker_Threat_Zone[[#This Row],[Relevance]])</f>
        <v>No</v>
      </c>
      <c r="C13" s="167"/>
      <c r="D13" s="167"/>
      <c r="E13" s="120" t="str">
        <f>VLOOKUP(Risk_Evaluation[[#This Row],[Threat Catalogue]],_3_3_OVERVIEW_PRE!$A$7:$B$66,2,FALSE)</f>
        <v/>
      </c>
      <c r="F13" s="171"/>
      <c r="G13" s="171"/>
      <c r="H13" s="127" t="str">
        <f>IF(ISBLANK(Attacker_Threat_Zone[[#This Row],[Exposure]]),"",Attacker_Threat_Zone[[#This Row],[Exposure]])</f>
        <v/>
      </c>
      <c r="I13" s="175"/>
      <c r="J13" s="127" t="str">
        <f>IF(ISBLANK(Attacker_Threat_Zone[[#This Row],[Vulnerability]]),"",Attacker_Threat_Zone[[#This Row],[Vulnerability]])</f>
        <v/>
      </c>
      <c r="K13" s="175"/>
      <c r="L13" s="128" t="str">
        <f>IF(Risk_Evaluation[[#This Row],[Exposure - G-6b]]&lt;&gt;"",MIN(Risk_Evaluation[[#This Row],[Exposure - G-6b]:[Exposure - 
G-6b
Override]]),"")</f>
        <v/>
      </c>
      <c r="M13" s="128" t="str">
        <f>IF(Risk_Evaluation[[#This Row],[Vulnerability - 
G-6b]]&lt;&gt;"",MIN(Risk_Evaluation[[#This Row],[Vulnerability - 
G-6b]:[Vulnerability - 
G-6b
Override]]),"")</f>
        <v/>
      </c>
      <c r="N13" s="128" t="str">
        <f>IF(COUNT(Risk_Evaluation[[#This Row],[Exp min]:[Vul min]])=2,Risk_Evaluation[[#This Row],[Exp min]]+Risk_Evaluation[[#This Row],[Vul min]]-1,"")</f>
        <v/>
      </c>
      <c r="O13" s="128" t="str">
        <f>Attacker_Threat_Zone[[#This Row],[Impact
Max]]</f>
        <v/>
      </c>
      <c r="P13" s="175"/>
      <c r="Q13" s="121" t="str" cm="1">
        <f t="array" ref="Q1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3" s="128">
        <f>IF(OR('SL-T'!$B$18="",Risk_Evaluation[[#This Row],[Actual Risk - 
G-6b]]=""),0,VLOOKUP(Risk_Evaluation[[#This Row],[Actual Risk - 
G-6b]],_DATA!$H$3:$I$7,2,FALSE)-VLOOKUP('SL-T'!$B$18,_DATA!$H$3:$I$7,2,FALSE))</f>
        <v>0</v>
      </c>
      <c r="S13" s="122" t="str">
        <f>VLOOKUP(Risk_Evaluation[[#This Row],[Threat Catalogue]],_3_3_OVERVIEW_MITIGATING!$A$7:$B$66,2,FALSE)</f>
        <v/>
      </c>
      <c r="T13" s="177"/>
      <c r="U13" s="175"/>
      <c r="V13" s="175"/>
      <c r="W1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3" s="175"/>
      <c r="Y13" s="123" t="str" cm="1">
        <f t="array" ref="Y1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3" s="129">
        <f>IF(OR('SL-T'!$B$18="",Risk_Evaluation[[#This Row],[Actual Risk - 
G-6d]]=""),0,VLOOKUP(Risk_Evaluation[[#This Row],[Actual Risk - 
G-6d]],_DATA!$H$3:$I$7,2,FALSE)-VLOOKUP('SL-T'!$B$18,_DATA!$H$3:$I$7,2,FALSE))</f>
        <v>0</v>
      </c>
      <c r="AA13" s="124" t="str">
        <f>VLOOKUP(Risk_Evaluation[[#This Row],[Threat Catalogue]],_2_1_OVERVIEW!$A$7:$B$66,2,FALSE)</f>
        <v/>
      </c>
      <c r="AB13" s="181"/>
      <c r="AC13" s="182"/>
      <c r="AD13" s="175"/>
      <c r="AE13" s="175"/>
      <c r="AF1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3" s="175"/>
      <c r="AH13" s="125" t="str" cm="1">
        <f t="array" ref="AH1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3" s="132">
        <f>IF(OR('SL-T'!$B$18="",Risk_Evaluation[[#This Row],[Actual Risk - 
G-6f]]=""),0,VLOOKUP(Risk_Evaluation[[#This Row],[Actual Risk - 
G-6f]],_DATA!$H$3:$I$7,2,FALSE)-VLOOKUP('SL-T'!$B$18,_DATA!$H$3:$I$7,2,FALSE))</f>
        <v>0</v>
      </c>
      <c r="AJ13" s="187"/>
      <c r="AK13" s="188"/>
    </row>
    <row r="14" spans="1:37" s="10" customFormat="1">
      <c r="A14" s="126" t="str">
        <f>Attacker_Threat_Zone[[#This Row],[Threat Name]]</f>
        <v>G 0.22 Manipulation of Information</v>
      </c>
      <c r="B14" s="119" t="str">
        <f>IF(ISBLANK(Attacker_Threat_Zone[[#This Row],[Relevance]]),"No",Attacker_Threat_Zone[[#This Row],[Relevance]])</f>
        <v>No</v>
      </c>
      <c r="C14" s="167"/>
      <c r="D14" s="167"/>
      <c r="E14" s="120" t="str">
        <f>VLOOKUP(Risk_Evaluation[[#This Row],[Threat Catalogue]],_3_3_OVERVIEW_PRE!$A$7:$B$66,2,FALSE)</f>
        <v/>
      </c>
      <c r="F14" s="171"/>
      <c r="G14" s="171"/>
      <c r="H14" s="127" t="str">
        <f>IF(ISBLANK(Attacker_Threat_Zone[[#This Row],[Exposure]]),"",Attacker_Threat_Zone[[#This Row],[Exposure]])</f>
        <v/>
      </c>
      <c r="I14" s="175"/>
      <c r="J14" s="127" t="str">
        <f>IF(ISBLANK(Attacker_Threat_Zone[[#This Row],[Vulnerability]]),"",Attacker_Threat_Zone[[#This Row],[Vulnerability]])</f>
        <v/>
      </c>
      <c r="K14" s="175"/>
      <c r="L14" s="128" t="str">
        <f>IF(Risk_Evaluation[[#This Row],[Exposure - G-6b]]&lt;&gt;"",MIN(Risk_Evaluation[[#This Row],[Exposure - G-6b]:[Exposure - 
G-6b
Override]]),"")</f>
        <v/>
      </c>
      <c r="M14" s="128" t="str">
        <f>IF(Risk_Evaluation[[#This Row],[Vulnerability - 
G-6b]]&lt;&gt;"",MIN(Risk_Evaluation[[#This Row],[Vulnerability - 
G-6b]:[Vulnerability - 
G-6b
Override]]),"")</f>
        <v/>
      </c>
      <c r="N14" s="128" t="str">
        <f>IF(COUNT(Risk_Evaluation[[#This Row],[Exp min]:[Vul min]])=2,Risk_Evaluation[[#This Row],[Exp min]]+Risk_Evaluation[[#This Row],[Vul min]]-1,"")</f>
        <v/>
      </c>
      <c r="O14" s="128" t="str">
        <f>Attacker_Threat_Zone[[#This Row],[Impact
Max]]</f>
        <v/>
      </c>
      <c r="P14" s="175"/>
      <c r="Q14" s="121" t="str" cm="1">
        <f t="array" ref="Q1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4" s="128">
        <f>IF(OR('SL-T'!$B$18="",Risk_Evaluation[[#This Row],[Actual Risk - 
G-6b]]=""),0,VLOOKUP(Risk_Evaluation[[#This Row],[Actual Risk - 
G-6b]],_DATA!$H$3:$I$7,2,FALSE)-VLOOKUP('SL-T'!$B$18,_DATA!$H$3:$I$7,2,FALSE))</f>
        <v>0</v>
      </c>
      <c r="S14" s="122" t="str">
        <f>VLOOKUP(Risk_Evaluation[[#This Row],[Threat Catalogue]],_3_3_OVERVIEW_MITIGATING!$A$7:$B$66,2,FALSE)</f>
        <v/>
      </c>
      <c r="T14" s="177"/>
      <c r="U14" s="175"/>
      <c r="V14" s="175"/>
      <c r="W14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4" s="175"/>
      <c r="Y14" s="123" t="str" cm="1">
        <f t="array" ref="Y1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4" s="129">
        <f>IF(OR('SL-T'!$B$18="",Risk_Evaluation[[#This Row],[Actual Risk - 
G-6d]]=""),0,VLOOKUP(Risk_Evaluation[[#This Row],[Actual Risk - 
G-6d]],_DATA!$H$3:$I$7,2,FALSE)-VLOOKUP('SL-T'!$B$18,_DATA!$H$3:$I$7,2,FALSE))</f>
        <v>0</v>
      </c>
      <c r="AA14" s="124" t="str">
        <f>VLOOKUP(Risk_Evaluation[[#This Row],[Threat Catalogue]],_2_1_OVERVIEW!$A$7:$B$66,2,FALSE)</f>
        <v/>
      </c>
      <c r="AB14" s="181"/>
      <c r="AC14" s="182"/>
      <c r="AD14" s="175"/>
      <c r="AE14" s="175"/>
      <c r="AF14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4" s="175"/>
      <c r="AH14" s="125" t="str" cm="1">
        <f t="array" ref="AH1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4" s="132">
        <f>IF(OR('SL-T'!$B$18="",Risk_Evaluation[[#This Row],[Actual Risk - 
G-6f]]=""),0,VLOOKUP(Risk_Evaluation[[#This Row],[Actual Risk - 
G-6f]],_DATA!$H$3:$I$7,2,FALSE)-VLOOKUP('SL-T'!$B$18,_DATA!$H$3:$I$7,2,FALSE))</f>
        <v>0</v>
      </c>
      <c r="AJ14" s="187"/>
      <c r="AK14" s="188"/>
    </row>
    <row r="15" spans="1:37" s="10" customFormat="1">
      <c r="A15" s="126" t="str">
        <f>Attacker_Threat_Zone[[#This Row],[Threat Name]]</f>
        <v>G 0.23 Unauthorised Access to IT Systems</v>
      </c>
      <c r="B15" s="119" t="str">
        <f>IF(ISBLANK(Attacker_Threat_Zone[[#This Row],[Relevance]]),"No",Attacker_Threat_Zone[[#This Row],[Relevance]])</f>
        <v>No</v>
      </c>
      <c r="C15" s="167"/>
      <c r="D15" s="167"/>
      <c r="E15" s="120" t="str">
        <f>VLOOKUP(Risk_Evaluation[[#This Row],[Threat Catalogue]],_3_3_OVERVIEW_PRE!$A$7:$B$66,2,FALSE)</f>
        <v/>
      </c>
      <c r="F15" s="171"/>
      <c r="G15" s="171"/>
      <c r="H15" s="127" t="str">
        <f>IF(ISBLANK(Attacker_Threat_Zone[[#This Row],[Exposure]]),"",Attacker_Threat_Zone[[#This Row],[Exposure]])</f>
        <v/>
      </c>
      <c r="I15" s="175"/>
      <c r="J15" s="127" t="str">
        <f>IF(ISBLANK(Attacker_Threat_Zone[[#This Row],[Vulnerability]]),"",Attacker_Threat_Zone[[#This Row],[Vulnerability]])</f>
        <v/>
      </c>
      <c r="K15" s="175"/>
      <c r="L15" s="128" t="str">
        <f>IF(Risk_Evaluation[[#This Row],[Exposure - G-6b]]&lt;&gt;"",MIN(Risk_Evaluation[[#This Row],[Exposure - G-6b]:[Exposure - 
G-6b
Override]]),"")</f>
        <v/>
      </c>
      <c r="M15" s="128" t="str">
        <f>IF(Risk_Evaluation[[#This Row],[Vulnerability - 
G-6b]]&lt;&gt;"",MIN(Risk_Evaluation[[#This Row],[Vulnerability - 
G-6b]:[Vulnerability - 
G-6b
Override]]),"")</f>
        <v/>
      </c>
      <c r="N15" s="128" t="str">
        <f>IF(COUNT(Risk_Evaluation[[#This Row],[Exp min]:[Vul min]])=2,Risk_Evaluation[[#This Row],[Exp min]]+Risk_Evaluation[[#This Row],[Vul min]]-1,"")</f>
        <v/>
      </c>
      <c r="O15" s="128" t="str">
        <f>Attacker_Threat_Zone[[#This Row],[Impact
Max]]</f>
        <v/>
      </c>
      <c r="P15" s="175"/>
      <c r="Q15" s="121" t="str" cm="1">
        <f t="array" ref="Q1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5" s="128">
        <f>IF(OR('SL-T'!$B$18="",Risk_Evaluation[[#This Row],[Actual Risk - 
G-6b]]=""),0,VLOOKUP(Risk_Evaluation[[#This Row],[Actual Risk - 
G-6b]],_DATA!$H$3:$I$7,2,FALSE)-VLOOKUP('SL-T'!$B$18,_DATA!$H$3:$I$7,2,FALSE))</f>
        <v>0</v>
      </c>
      <c r="S15" s="122" t="str">
        <f>VLOOKUP(Risk_Evaluation[[#This Row],[Threat Catalogue]],_3_3_OVERVIEW_MITIGATING!$A$7:$B$66,2,FALSE)</f>
        <v/>
      </c>
      <c r="T15" s="177"/>
      <c r="U15" s="175"/>
      <c r="V15" s="175"/>
      <c r="W15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5" s="175"/>
      <c r="Y15" s="123" t="str" cm="1">
        <f t="array" ref="Y15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5" s="129">
        <f>IF(OR('SL-T'!$B$18="",Risk_Evaluation[[#This Row],[Actual Risk - 
G-6d]]=""),0,VLOOKUP(Risk_Evaluation[[#This Row],[Actual Risk - 
G-6d]],_DATA!$H$3:$I$7,2,FALSE)-VLOOKUP('SL-T'!$B$18,_DATA!$H$3:$I$7,2,FALSE))</f>
        <v>0</v>
      </c>
      <c r="AA15" s="124" t="str">
        <f>VLOOKUP(Risk_Evaluation[[#This Row],[Threat Catalogue]],_2_1_OVERVIEW!$A$7:$B$66,2,FALSE)</f>
        <v/>
      </c>
      <c r="AB15" s="181"/>
      <c r="AC15" s="182"/>
      <c r="AD15" s="175"/>
      <c r="AE15" s="175"/>
      <c r="AF15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5" s="175"/>
      <c r="AH15" s="125" t="str" cm="1">
        <f t="array" ref="AH15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5" s="132">
        <f>IF(OR('SL-T'!$B$18="",Risk_Evaluation[[#This Row],[Actual Risk - 
G-6f]]=""),0,VLOOKUP(Risk_Evaluation[[#This Row],[Actual Risk - 
G-6f]],_DATA!$H$3:$I$7,2,FALSE)-VLOOKUP('SL-T'!$B$18,_DATA!$H$3:$I$7,2,FALSE))</f>
        <v>0</v>
      </c>
      <c r="AJ15" s="187"/>
      <c r="AK15" s="188"/>
    </row>
    <row r="16" spans="1:37" s="10" customFormat="1">
      <c r="A16" s="126" t="str">
        <f>Attacker_Threat_Zone[[#This Row],[Threat Name]]</f>
        <v>G 0.24 Destruction of Devices or Storage Media</v>
      </c>
      <c r="B16" s="119" t="str">
        <f>IF(ISBLANK(Attacker_Threat_Zone[[#This Row],[Relevance]]),"No",Attacker_Threat_Zone[[#This Row],[Relevance]])</f>
        <v>No</v>
      </c>
      <c r="C16" s="167"/>
      <c r="D16" s="167"/>
      <c r="E16" s="120" t="str">
        <f>VLOOKUP(Risk_Evaluation[[#This Row],[Threat Catalogue]],_3_3_OVERVIEW_PRE!$A$7:$B$66,2,FALSE)</f>
        <v/>
      </c>
      <c r="F16" s="171"/>
      <c r="G16" s="171"/>
      <c r="H16" s="127" t="str">
        <f>IF(ISBLANK(Attacker_Threat_Zone[[#This Row],[Exposure]]),"",Attacker_Threat_Zone[[#This Row],[Exposure]])</f>
        <v/>
      </c>
      <c r="I16" s="175"/>
      <c r="J16" s="127" t="str">
        <f>IF(ISBLANK(Attacker_Threat_Zone[[#This Row],[Vulnerability]]),"",Attacker_Threat_Zone[[#This Row],[Vulnerability]])</f>
        <v/>
      </c>
      <c r="K16" s="175"/>
      <c r="L16" s="128" t="str">
        <f>IF(Risk_Evaluation[[#This Row],[Exposure - G-6b]]&lt;&gt;"",MIN(Risk_Evaluation[[#This Row],[Exposure - G-6b]:[Exposure - 
G-6b
Override]]),"")</f>
        <v/>
      </c>
      <c r="M16" s="128" t="str">
        <f>IF(Risk_Evaluation[[#This Row],[Vulnerability - 
G-6b]]&lt;&gt;"",MIN(Risk_Evaluation[[#This Row],[Vulnerability - 
G-6b]:[Vulnerability - 
G-6b
Override]]),"")</f>
        <v/>
      </c>
      <c r="N16" s="128" t="str">
        <f>IF(COUNT(Risk_Evaluation[[#This Row],[Exp min]:[Vul min]])=2,Risk_Evaluation[[#This Row],[Exp min]]+Risk_Evaluation[[#This Row],[Vul min]]-1,"")</f>
        <v/>
      </c>
      <c r="O16" s="128" t="str">
        <f>Attacker_Threat_Zone[[#This Row],[Impact
Max]]</f>
        <v/>
      </c>
      <c r="P16" s="175"/>
      <c r="Q16" s="121" t="str" cm="1">
        <f t="array" ref="Q1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6" s="128">
        <f>IF(OR('SL-T'!$B$18="",Risk_Evaluation[[#This Row],[Actual Risk - 
G-6b]]=""),0,VLOOKUP(Risk_Evaluation[[#This Row],[Actual Risk - 
G-6b]],_DATA!$H$3:$I$7,2,FALSE)-VLOOKUP('SL-T'!$B$18,_DATA!$H$3:$I$7,2,FALSE))</f>
        <v>0</v>
      </c>
      <c r="S16" s="122" t="str">
        <f>VLOOKUP(Risk_Evaluation[[#This Row],[Threat Catalogue]],_3_3_OVERVIEW_MITIGATING!$A$7:$B$66,2,FALSE)</f>
        <v/>
      </c>
      <c r="T16" s="177"/>
      <c r="U16" s="175"/>
      <c r="V16" s="175"/>
      <c r="W16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6" s="175"/>
      <c r="Y16" s="123" t="str" cm="1">
        <f t="array" ref="Y1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6" s="129">
        <f>IF(OR('SL-T'!$B$18="",Risk_Evaluation[[#This Row],[Actual Risk - 
G-6d]]=""),0,VLOOKUP(Risk_Evaluation[[#This Row],[Actual Risk - 
G-6d]],_DATA!$H$3:$I$7,2,FALSE)-VLOOKUP('SL-T'!$B$18,_DATA!$H$3:$I$7,2,FALSE))</f>
        <v>0</v>
      </c>
      <c r="AA16" s="124" t="str">
        <f>VLOOKUP(Risk_Evaluation[[#This Row],[Threat Catalogue]],_2_1_OVERVIEW!$A$7:$B$66,2,FALSE)</f>
        <v/>
      </c>
      <c r="AB16" s="181"/>
      <c r="AC16" s="182"/>
      <c r="AD16" s="175"/>
      <c r="AE16" s="175"/>
      <c r="AF16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6" s="175"/>
      <c r="AH16" s="125" t="str" cm="1">
        <f t="array" ref="AH1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6" s="132">
        <f>IF(OR('SL-T'!$B$18="",Risk_Evaluation[[#This Row],[Actual Risk - 
G-6f]]=""),0,VLOOKUP(Risk_Evaluation[[#This Row],[Actual Risk - 
G-6f]],_DATA!$H$3:$I$7,2,FALSE)-VLOOKUP('SL-T'!$B$18,_DATA!$H$3:$I$7,2,FALSE))</f>
        <v>0</v>
      </c>
      <c r="AJ16" s="187"/>
      <c r="AK16" s="188"/>
    </row>
    <row r="17" spans="1:37" s="10" customFormat="1">
      <c r="A17" s="126" t="str">
        <f>Attacker_Threat_Zone[[#This Row],[Threat Name]]</f>
        <v>G 0.28 Software Vulnerabilities or Errors</v>
      </c>
      <c r="B17" s="119" t="str">
        <f>IF(ISBLANK(Attacker_Threat_Zone[[#This Row],[Relevance]]),"No",Attacker_Threat_Zone[[#This Row],[Relevance]])</f>
        <v>No</v>
      </c>
      <c r="C17" s="167"/>
      <c r="D17" s="167"/>
      <c r="E17" s="120" t="str">
        <f>VLOOKUP(Risk_Evaluation[[#This Row],[Threat Catalogue]],_3_3_OVERVIEW_PRE!$A$7:$B$66,2,FALSE)</f>
        <v/>
      </c>
      <c r="F17" s="171"/>
      <c r="G17" s="171"/>
      <c r="H17" s="127" t="str">
        <f>IF(ISBLANK(Attacker_Threat_Zone[[#This Row],[Exposure]]),"",Attacker_Threat_Zone[[#This Row],[Exposure]])</f>
        <v/>
      </c>
      <c r="I17" s="175"/>
      <c r="J17" s="127" t="str">
        <f>IF(ISBLANK(Attacker_Threat_Zone[[#This Row],[Vulnerability]]),"",Attacker_Threat_Zone[[#This Row],[Vulnerability]])</f>
        <v/>
      </c>
      <c r="K17" s="175"/>
      <c r="L17" s="128" t="str">
        <f>IF(Risk_Evaluation[[#This Row],[Exposure - G-6b]]&lt;&gt;"",MIN(Risk_Evaluation[[#This Row],[Exposure - G-6b]:[Exposure - 
G-6b
Override]]),"")</f>
        <v/>
      </c>
      <c r="M17" s="128" t="str">
        <f>IF(Risk_Evaluation[[#This Row],[Vulnerability - 
G-6b]]&lt;&gt;"",MIN(Risk_Evaluation[[#This Row],[Vulnerability - 
G-6b]:[Vulnerability - 
G-6b
Override]]),"")</f>
        <v/>
      </c>
      <c r="N17" s="128" t="str">
        <f>IF(COUNT(Risk_Evaluation[[#This Row],[Exp min]:[Vul min]])=2,Risk_Evaluation[[#This Row],[Exp min]]+Risk_Evaluation[[#This Row],[Vul min]]-1,"")</f>
        <v/>
      </c>
      <c r="O17" s="128" t="str">
        <f>Attacker_Threat_Zone[[#This Row],[Impact
Max]]</f>
        <v/>
      </c>
      <c r="P17" s="175"/>
      <c r="Q17" s="121" t="str" cm="1">
        <f t="array" ref="Q1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7" s="128">
        <f>IF(OR('SL-T'!$B$18="",Risk_Evaluation[[#This Row],[Actual Risk - 
G-6b]]=""),0,VLOOKUP(Risk_Evaluation[[#This Row],[Actual Risk - 
G-6b]],_DATA!$H$3:$I$7,2,FALSE)-VLOOKUP('SL-T'!$B$18,_DATA!$H$3:$I$7,2,FALSE))</f>
        <v>0</v>
      </c>
      <c r="S17" s="122" t="str">
        <f>VLOOKUP(Risk_Evaluation[[#This Row],[Threat Catalogue]],_3_3_OVERVIEW_MITIGATING!$A$7:$B$66,2,FALSE)</f>
        <v/>
      </c>
      <c r="T17" s="177"/>
      <c r="U17" s="175"/>
      <c r="V17" s="175"/>
      <c r="W17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7" s="175"/>
      <c r="Y17" s="123" t="str" cm="1">
        <f t="array" ref="Y1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7" s="129">
        <f>IF(OR('SL-T'!$B$18="",Risk_Evaluation[[#This Row],[Actual Risk - 
G-6d]]=""),0,VLOOKUP(Risk_Evaluation[[#This Row],[Actual Risk - 
G-6d]],_DATA!$H$3:$I$7,2,FALSE)-VLOOKUP('SL-T'!$B$18,_DATA!$H$3:$I$7,2,FALSE))</f>
        <v>0</v>
      </c>
      <c r="AA17" s="124" t="str">
        <f>VLOOKUP(Risk_Evaluation[[#This Row],[Threat Catalogue]],_2_1_OVERVIEW!$A$7:$B$66,2,FALSE)</f>
        <v/>
      </c>
      <c r="AB17" s="181"/>
      <c r="AC17" s="182"/>
      <c r="AD17" s="175"/>
      <c r="AE17" s="175"/>
      <c r="AF17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7" s="175"/>
      <c r="AH17" s="125" t="str" cm="1">
        <f t="array" ref="AH1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7" s="132">
        <f>IF(OR('SL-T'!$B$18="",Risk_Evaluation[[#This Row],[Actual Risk - 
G-6f]]=""),0,VLOOKUP(Risk_Evaluation[[#This Row],[Actual Risk - 
G-6f]],_DATA!$H$3:$I$7,2,FALSE)-VLOOKUP('SL-T'!$B$18,_DATA!$H$3:$I$7,2,FALSE))</f>
        <v>0</v>
      </c>
      <c r="AJ17" s="187"/>
      <c r="AK17" s="188"/>
    </row>
    <row r="18" spans="1:37" s="10" customFormat="1" ht="28.8">
      <c r="A18" s="126" t="str">
        <f>Attacker_Threat_Zone[[#This Row],[Threat Name]]</f>
        <v>G 0.30 Unauthorised Use or Administration of Devices and Systems</v>
      </c>
      <c r="B18" s="119" t="str">
        <f>IF(ISBLANK(Attacker_Threat_Zone[[#This Row],[Relevance]]),"No",Attacker_Threat_Zone[[#This Row],[Relevance]])</f>
        <v>No</v>
      </c>
      <c r="C18" s="167"/>
      <c r="D18" s="167"/>
      <c r="E18" s="120" t="str">
        <f>VLOOKUP(Risk_Evaluation[[#This Row],[Threat Catalogue]],_3_3_OVERVIEW_PRE!$A$7:$B$66,2,FALSE)</f>
        <v/>
      </c>
      <c r="F18" s="171"/>
      <c r="G18" s="171"/>
      <c r="H18" s="127" t="str">
        <f>IF(ISBLANK(Attacker_Threat_Zone[[#This Row],[Exposure]]),"",Attacker_Threat_Zone[[#This Row],[Exposure]])</f>
        <v/>
      </c>
      <c r="I18" s="175"/>
      <c r="J18" s="127" t="str">
        <f>IF(ISBLANK(Attacker_Threat_Zone[[#This Row],[Vulnerability]]),"",Attacker_Threat_Zone[[#This Row],[Vulnerability]])</f>
        <v/>
      </c>
      <c r="K18" s="175"/>
      <c r="L18" s="128" t="str">
        <f>IF(Risk_Evaluation[[#This Row],[Exposure - G-6b]]&lt;&gt;"",MIN(Risk_Evaluation[[#This Row],[Exposure - G-6b]:[Exposure - 
G-6b
Override]]),"")</f>
        <v/>
      </c>
      <c r="M18" s="128" t="str">
        <f>IF(Risk_Evaluation[[#This Row],[Vulnerability - 
G-6b]]&lt;&gt;"",MIN(Risk_Evaluation[[#This Row],[Vulnerability - 
G-6b]:[Vulnerability - 
G-6b
Override]]),"")</f>
        <v/>
      </c>
      <c r="N18" s="128" t="str">
        <f>IF(COUNT(Risk_Evaluation[[#This Row],[Exp min]:[Vul min]])=2,Risk_Evaluation[[#This Row],[Exp min]]+Risk_Evaluation[[#This Row],[Vul min]]-1,"")</f>
        <v/>
      </c>
      <c r="O18" s="128" t="str">
        <f>Attacker_Threat_Zone[[#This Row],[Impact
Max]]</f>
        <v/>
      </c>
      <c r="P18" s="175"/>
      <c r="Q18" s="121" t="str" cm="1">
        <f t="array" ref="Q1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8" s="128">
        <f>IF(OR('SL-T'!$B$18="",Risk_Evaluation[[#This Row],[Actual Risk - 
G-6b]]=""),0,VLOOKUP(Risk_Evaluation[[#This Row],[Actual Risk - 
G-6b]],_DATA!$H$3:$I$7,2,FALSE)-VLOOKUP('SL-T'!$B$18,_DATA!$H$3:$I$7,2,FALSE))</f>
        <v>0</v>
      </c>
      <c r="S18" s="122" t="str">
        <f>VLOOKUP(Risk_Evaluation[[#This Row],[Threat Catalogue]],_3_3_OVERVIEW_MITIGATING!$A$7:$B$66,2,FALSE)</f>
        <v/>
      </c>
      <c r="T18" s="177"/>
      <c r="U18" s="175"/>
      <c r="V18" s="175"/>
      <c r="W1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8" s="175"/>
      <c r="Y18" s="123" t="str" cm="1">
        <f t="array" ref="Y1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8" s="129">
        <f>IF(OR('SL-T'!$B$18="",Risk_Evaluation[[#This Row],[Actual Risk - 
G-6d]]=""),0,VLOOKUP(Risk_Evaluation[[#This Row],[Actual Risk - 
G-6d]],_DATA!$H$3:$I$7,2,FALSE)-VLOOKUP('SL-T'!$B$18,_DATA!$H$3:$I$7,2,FALSE))</f>
        <v>0</v>
      </c>
      <c r="AA18" s="124" t="str">
        <f>VLOOKUP(Risk_Evaluation[[#This Row],[Threat Catalogue]],_2_1_OVERVIEW!$A$7:$B$66,2,FALSE)</f>
        <v/>
      </c>
      <c r="AB18" s="181"/>
      <c r="AC18" s="182"/>
      <c r="AD18" s="175"/>
      <c r="AE18" s="175"/>
      <c r="AF1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8" s="175"/>
      <c r="AH18" s="125" t="str" cm="1">
        <f t="array" ref="AH1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8" s="132">
        <f>IF(OR('SL-T'!$B$18="",Risk_Evaluation[[#This Row],[Actual Risk - 
G-6f]]=""),0,VLOOKUP(Risk_Evaluation[[#This Row],[Actual Risk - 
G-6f]],_DATA!$H$3:$I$7,2,FALSE)-VLOOKUP('SL-T'!$B$18,_DATA!$H$3:$I$7,2,FALSE))</f>
        <v>0</v>
      </c>
      <c r="AJ18" s="187"/>
      <c r="AK18" s="188"/>
    </row>
    <row r="19" spans="1:37" s="10" customFormat="1" ht="28.8">
      <c r="A19" s="126" t="str">
        <f>Attacker_Threat_Zone[[#This Row],[Threat Name]]</f>
        <v>G 0.31 Incorrect Use or Administration of Devices and Systems</v>
      </c>
      <c r="B19" s="119" t="str">
        <f>IF(ISBLANK(Attacker_Threat_Zone[[#This Row],[Relevance]]),"No",Attacker_Threat_Zone[[#This Row],[Relevance]])</f>
        <v>No</v>
      </c>
      <c r="C19" s="167"/>
      <c r="D19" s="167"/>
      <c r="E19" s="120" t="str">
        <f>VLOOKUP(Risk_Evaluation[[#This Row],[Threat Catalogue]],_3_3_OVERVIEW_PRE!$A$7:$B$66,2,FALSE)</f>
        <v/>
      </c>
      <c r="F19" s="171"/>
      <c r="G19" s="171"/>
      <c r="H19" s="127" t="str">
        <f>IF(ISBLANK(Attacker_Threat_Zone[[#This Row],[Exposure]]),"",Attacker_Threat_Zone[[#This Row],[Exposure]])</f>
        <v/>
      </c>
      <c r="I19" s="175"/>
      <c r="J19" s="127" t="str">
        <f>IF(ISBLANK(Attacker_Threat_Zone[[#This Row],[Vulnerability]]),"",Attacker_Threat_Zone[[#This Row],[Vulnerability]])</f>
        <v/>
      </c>
      <c r="K19" s="175"/>
      <c r="L19" s="128" t="str">
        <f>IF(Risk_Evaluation[[#This Row],[Exposure - G-6b]]&lt;&gt;"",MIN(Risk_Evaluation[[#This Row],[Exposure - G-6b]:[Exposure - 
G-6b
Override]]),"")</f>
        <v/>
      </c>
      <c r="M19" s="128" t="str">
        <f>IF(Risk_Evaluation[[#This Row],[Vulnerability - 
G-6b]]&lt;&gt;"",MIN(Risk_Evaluation[[#This Row],[Vulnerability - 
G-6b]:[Vulnerability - 
G-6b
Override]]),"")</f>
        <v/>
      </c>
      <c r="N19" s="128" t="str">
        <f>IF(COUNT(Risk_Evaluation[[#This Row],[Exp min]:[Vul min]])=2,Risk_Evaluation[[#This Row],[Exp min]]+Risk_Evaluation[[#This Row],[Vul min]]-1,"")</f>
        <v/>
      </c>
      <c r="O19" s="128" t="str">
        <f>Attacker_Threat_Zone[[#This Row],[Impact
Max]]</f>
        <v/>
      </c>
      <c r="P19" s="175"/>
      <c r="Q19" s="121" t="str" cm="1">
        <f t="array" ref="Q1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19" s="128">
        <f>IF(OR('SL-T'!$B$18="",Risk_Evaluation[[#This Row],[Actual Risk - 
G-6b]]=""),0,VLOOKUP(Risk_Evaluation[[#This Row],[Actual Risk - 
G-6b]],_DATA!$H$3:$I$7,2,FALSE)-VLOOKUP('SL-T'!$B$18,_DATA!$H$3:$I$7,2,FALSE))</f>
        <v>0</v>
      </c>
      <c r="S19" s="122" t="str">
        <f>VLOOKUP(Risk_Evaluation[[#This Row],[Threat Catalogue]],_3_3_OVERVIEW_MITIGATING!$A$7:$B$66,2,FALSE)</f>
        <v/>
      </c>
      <c r="T19" s="177"/>
      <c r="U19" s="175"/>
      <c r="V19" s="175"/>
      <c r="W1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19" s="175"/>
      <c r="Y19" s="123" t="str" cm="1">
        <f t="array" ref="Y1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19" s="129">
        <f>IF(OR('SL-T'!$B$18="",Risk_Evaluation[[#This Row],[Actual Risk - 
G-6d]]=""),0,VLOOKUP(Risk_Evaluation[[#This Row],[Actual Risk - 
G-6d]],_DATA!$H$3:$I$7,2,FALSE)-VLOOKUP('SL-T'!$B$18,_DATA!$H$3:$I$7,2,FALSE))</f>
        <v>0</v>
      </c>
      <c r="AA19" s="124" t="str">
        <f>VLOOKUP(Risk_Evaluation[[#This Row],[Threat Catalogue]],_2_1_OVERVIEW!$A$7:$B$66,2,FALSE)</f>
        <v/>
      </c>
      <c r="AB19" s="181"/>
      <c r="AC19" s="182"/>
      <c r="AD19" s="175"/>
      <c r="AE19" s="175"/>
      <c r="AF1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19" s="175"/>
      <c r="AH19" s="125" t="str" cm="1">
        <f t="array" ref="AH1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19" s="132">
        <f>IF(OR('SL-T'!$B$18="",Risk_Evaluation[[#This Row],[Actual Risk - 
G-6f]]=""),0,VLOOKUP(Risk_Evaluation[[#This Row],[Actual Risk - 
G-6f]],_DATA!$H$3:$I$7,2,FALSE)-VLOOKUP('SL-T'!$B$18,_DATA!$H$3:$I$7,2,FALSE))</f>
        <v>0</v>
      </c>
      <c r="AJ19" s="187"/>
      <c r="AK19" s="188"/>
    </row>
    <row r="20" spans="1:37" s="10" customFormat="1">
      <c r="A20" s="126" t="str">
        <f>Attacker_Threat_Zone[[#This Row],[Threat Name]]</f>
        <v>G 0.32 Misuse of Authorisation</v>
      </c>
      <c r="B20" s="119" t="str">
        <f>IF(ISBLANK(Attacker_Threat_Zone[[#This Row],[Relevance]]),"No",Attacker_Threat_Zone[[#This Row],[Relevance]])</f>
        <v>No</v>
      </c>
      <c r="C20" s="167"/>
      <c r="D20" s="167"/>
      <c r="E20" s="120" t="str">
        <f>VLOOKUP(Risk_Evaluation[[#This Row],[Threat Catalogue]],_3_3_OVERVIEW_PRE!$A$7:$B$66,2,FALSE)</f>
        <v/>
      </c>
      <c r="F20" s="171"/>
      <c r="G20" s="171"/>
      <c r="H20" s="127" t="str">
        <f>IF(ISBLANK(Attacker_Threat_Zone[[#This Row],[Exposure]]),"",Attacker_Threat_Zone[[#This Row],[Exposure]])</f>
        <v/>
      </c>
      <c r="I20" s="175"/>
      <c r="J20" s="127" t="str">
        <f>IF(ISBLANK(Attacker_Threat_Zone[[#This Row],[Vulnerability]]),"",Attacker_Threat_Zone[[#This Row],[Vulnerability]])</f>
        <v/>
      </c>
      <c r="K20" s="175"/>
      <c r="L20" s="128" t="str">
        <f>IF(Risk_Evaluation[[#This Row],[Exposure - G-6b]]&lt;&gt;"",MIN(Risk_Evaluation[[#This Row],[Exposure - G-6b]:[Exposure - 
G-6b
Override]]),"")</f>
        <v/>
      </c>
      <c r="M20" s="128" t="str">
        <f>IF(Risk_Evaluation[[#This Row],[Vulnerability - 
G-6b]]&lt;&gt;"",MIN(Risk_Evaluation[[#This Row],[Vulnerability - 
G-6b]:[Vulnerability - 
G-6b
Override]]),"")</f>
        <v/>
      </c>
      <c r="N20" s="128" t="str">
        <f>IF(COUNT(Risk_Evaluation[[#This Row],[Exp min]:[Vul min]])=2,Risk_Evaluation[[#This Row],[Exp min]]+Risk_Evaluation[[#This Row],[Vul min]]-1,"")</f>
        <v/>
      </c>
      <c r="O20" s="128" t="str">
        <f>Attacker_Threat_Zone[[#This Row],[Impact
Max]]</f>
        <v/>
      </c>
      <c r="P20" s="175"/>
      <c r="Q20" s="121" t="str" cm="1">
        <f t="array" ref="Q2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0" s="128">
        <f>IF(OR('SL-T'!$B$18="",Risk_Evaluation[[#This Row],[Actual Risk - 
G-6b]]=""),0,VLOOKUP(Risk_Evaluation[[#This Row],[Actual Risk - 
G-6b]],_DATA!$H$3:$I$7,2,FALSE)-VLOOKUP('SL-T'!$B$18,_DATA!$H$3:$I$7,2,FALSE))</f>
        <v>0</v>
      </c>
      <c r="S20" s="122" t="str">
        <f>VLOOKUP(Risk_Evaluation[[#This Row],[Threat Catalogue]],_3_3_OVERVIEW_MITIGATING!$A$7:$B$66,2,FALSE)</f>
        <v/>
      </c>
      <c r="T20" s="177"/>
      <c r="U20" s="175"/>
      <c r="V20" s="175"/>
      <c r="W2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0" s="175"/>
      <c r="Y20" s="123" t="str" cm="1">
        <f t="array" ref="Y2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0" s="129">
        <f>IF(OR('SL-T'!$B$18="",Risk_Evaluation[[#This Row],[Actual Risk - 
G-6d]]=""),0,VLOOKUP(Risk_Evaluation[[#This Row],[Actual Risk - 
G-6d]],_DATA!$H$3:$I$7,2,FALSE)-VLOOKUP('SL-T'!$B$18,_DATA!$H$3:$I$7,2,FALSE))</f>
        <v>0</v>
      </c>
      <c r="AA20" s="124" t="str">
        <f>VLOOKUP(Risk_Evaluation[[#This Row],[Threat Catalogue]],_2_1_OVERVIEW!$A$7:$B$66,2,FALSE)</f>
        <v/>
      </c>
      <c r="AB20" s="181"/>
      <c r="AC20" s="182"/>
      <c r="AD20" s="175"/>
      <c r="AE20" s="175"/>
      <c r="AF2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0" s="175"/>
      <c r="AH20" s="125" t="str" cm="1">
        <f t="array" ref="AH2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0" s="132">
        <f>IF(OR('SL-T'!$B$18="",Risk_Evaluation[[#This Row],[Actual Risk - 
G-6f]]=""),0,VLOOKUP(Risk_Evaluation[[#This Row],[Actual Risk - 
G-6f]],_DATA!$H$3:$I$7,2,FALSE)-VLOOKUP('SL-T'!$B$18,_DATA!$H$3:$I$7,2,FALSE))</f>
        <v>0</v>
      </c>
      <c r="AJ20" s="187"/>
      <c r="AK20" s="188"/>
    </row>
    <row r="21" spans="1:37" s="10" customFormat="1">
      <c r="A21" s="126" t="str">
        <f>Attacker_Threat_Zone[[#This Row],[Threat Name]]</f>
        <v>G 0.35 Coercion, Blackmail or Corruption</v>
      </c>
      <c r="B21" s="119" t="str">
        <f>IF(ISBLANK(Attacker_Threat_Zone[[#This Row],[Relevance]]),"No",Attacker_Threat_Zone[[#This Row],[Relevance]])</f>
        <v>No</v>
      </c>
      <c r="C21" s="167"/>
      <c r="D21" s="167"/>
      <c r="E21" s="120" t="str">
        <f>VLOOKUP(Risk_Evaluation[[#This Row],[Threat Catalogue]],_3_3_OVERVIEW_PRE!$A$7:$B$66,2,FALSE)</f>
        <v/>
      </c>
      <c r="F21" s="171"/>
      <c r="G21" s="171"/>
      <c r="H21" s="127" t="str">
        <f>IF(ISBLANK(Attacker_Threat_Zone[[#This Row],[Exposure]]),"",Attacker_Threat_Zone[[#This Row],[Exposure]])</f>
        <v/>
      </c>
      <c r="I21" s="175"/>
      <c r="J21" s="127" t="str">
        <f>IF(ISBLANK(Attacker_Threat_Zone[[#This Row],[Vulnerability]]),"",Attacker_Threat_Zone[[#This Row],[Vulnerability]])</f>
        <v/>
      </c>
      <c r="K21" s="175"/>
      <c r="L21" s="128" t="str">
        <f>IF(Risk_Evaluation[[#This Row],[Exposure - G-6b]]&lt;&gt;"",MIN(Risk_Evaluation[[#This Row],[Exposure - G-6b]:[Exposure - 
G-6b
Override]]),"")</f>
        <v/>
      </c>
      <c r="M21" s="128" t="str">
        <f>IF(Risk_Evaluation[[#This Row],[Vulnerability - 
G-6b]]&lt;&gt;"",MIN(Risk_Evaluation[[#This Row],[Vulnerability - 
G-6b]:[Vulnerability - 
G-6b
Override]]),"")</f>
        <v/>
      </c>
      <c r="N21" s="128" t="str">
        <f>IF(COUNT(Risk_Evaluation[[#This Row],[Exp min]:[Vul min]])=2,Risk_Evaluation[[#This Row],[Exp min]]+Risk_Evaluation[[#This Row],[Vul min]]-1,"")</f>
        <v/>
      </c>
      <c r="O21" s="128" t="str">
        <f>Attacker_Threat_Zone[[#This Row],[Impact
Max]]</f>
        <v/>
      </c>
      <c r="P21" s="175"/>
      <c r="Q21" s="121" t="str" cm="1">
        <f t="array" ref="Q2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1" s="128">
        <f>IF(OR('SL-T'!$B$18="",Risk_Evaluation[[#This Row],[Actual Risk - 
G-6b]]=""),0,VLOOKUP(Risk_Evaluation[[#This Row],[Actual Risk - 
G-6b]],_DATA!$H$3:$I$7,2,FALSE)-VLOOKUP('SL-T'!$B$18,_DATA!$H$3:$I$7,2,FALSE))</f>
        <v>0</v>
      </c>
      <c r="S21" s="122" t="str">
        <f>VLOOKUP(Risk_Evaluation[[#This Row],[Threat Catalogue]],_3_3_OVERVIEW_MITIGATING!$A$7:$B$66,2,FALSE)</f>
        <v/>
      </c>
      <c r="T21" s="177"/>
      <c r="U21" s="175"/>
      <c r="V21" s="175"/>
      <c r="W2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1" s="175"/>
      <c r="Y21" s="123" t="str" cm="1">
        <f t="array" ref="Y2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1" s="129">
        <f>IF(OR('SL-T'!$B$18="",Risk_Evaluation[[#This Row],[Actual Risk - 
G-6d]]=""),0,VLOOKUP(Risk_Evaluation[[#This Row],[Actual Risk - 
G-6d]],_DATA!$H$3:$I$7,2,FALSE)-VLOOKUP('SL-T'!$B$18,_DATA!$H$3:$I$7,2,FALSE))</f>
        <v>0</v>
      </c>
      <c r="AA21" s="124" t="str">
        <f>VLOOKUP(Risk_Evaluation[[#This Row],[Threat Catalogue]],_2_1_OVERVIEW!$A$7:$B$66,2,FALSE)</f>
        <v/>
      </c>
      <c r="AB21" s="181"/>
      <c r="AC21" s="182"/>
      <c r="AD21" s="175"/>
      <c r="AE21" s="175"/>
      <c r="AF2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1" s="175"/>
      <c r="AH21" s="125" t="str" cm="1">
        <f t="array" ref="AH2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1" s="132">
        <f>IF(OR('SL-T'!$B$18="",Risk_Evaluation[[#This Row],[Actual Risk - 
G-6f]]=""),0,VLOOKUP(Risk_Evaluation[[#This Row],[Actual Risk - 
G-6f]],_DATA!$H$3:$I$7,2,FALSE)-VLOOKUP('SL-T'!$B$18,_DATA!$H$3:$I$7,2,FALSE))</f>
        <v>0</v>
      </c>
      <c r="AJ21" s="187"/>
      <c r="AK21" s="188"/>
    </row>
    <row r="22" spans="1:37" s="10" customFormat="1">
      <c r="A22" s="126" t="str">
        <f>Attacker_Threat_Zone[[#This Row],[Threat Name]]</f>
        <v>G 0.36 Identity Theft</v>
      </c>
      <c r="B22" s="119" t="str">
        <f>IF(ISBLANK(Attacker_Threat_Zone[[#This Row],[Relevance]]),"No",Attacker_Threat_Zone[[#This Row],[Relevance]])</f>
        <v>No</v>
      </c>
      <c r="C22" s="167"/>
      <c r="D22" s="167"/>
      <c r="E22" s="120" t="str">
        <f>VLOOKUP(Risk_Evaluation[[#This Row],[Threat Catalogue]],_3_3_OVERVIEW_PRE!$A$7:$B$66,2,FALSE)</f>
        <v/>
      </c>
      <c r="F22" s="171"/>
      <c r="G22" s="171"/>
      <c r="H22" s="127" t="str">
        <f>IF(ISBLANK(Attacker_Threat_Zone[[#This Row],[Exposure]]),"",Attacker_Threat_Zone[[#This Row],[Exposure]])</f>
        <v/>
      </c>
      <c r="I22" s="175"/>
      <c r="J22" s="127" t="str">
        <f>IF(ISBLANK(Attacker_Threat_Zone[[#This Row],[Vulnerability]]),"",Attacker_Threat_Zone[[#This Row],[Vulnerability]])</f>
        <v/>
      </c>
      <c r="K22" s="175"/>
      <c r="L22" s="128" t="str">
        <f>IF(Risk_Evaluation[[#This Row],[Exposure - G-6b]]&lt;&gt;"",MIN(Risk_Evaluation[[#This Row],[Exposure - G-6b]:[Exposure - 
G-6b
Override]]),"")</f>
        <v/>
      </c>
      <c r="M22" s="128" t="str">
        <f>IF(Risk_Evaluation[[#This Row],[Vulnerability - 
G-6b]]&lt;&gt;"",MIN(Risk_Evaluation[[#This Row],[Vulnerability - 
G-6b]:[Vulnerability - 
G-6b
Override]]),"")</f>
        <v/>
      </c>
      <c r="N22" s="128" t="str">
        <f>IF(COUNT(Risk_Evaluation[[#This Row],[Exp min]:[Vul min]])=2,Risk_Evaluation[[#This Row],[Exp min]]+Risk_Evaluation[[#This Row],[Vul min]]-1,"")</f>
        <v/>
      </c>
      <c r="O22" s="128" t="str">
        <f>Attacker_Threat_Zone[[#This Row],[Impact
Max]]</f>
        <v/>
      </c>
      <c r="P22" s="175"/>
      <c r="Q22" s="121" t="str" cm="1">
        <f t="array" ref="Q2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2" s="128">
        <f>IF(OR('SL-T'!$B$18="",Risk_Evaluation[[#This Row],[Actual Risk - 
G-6b]]=""),0,VLOOKUP(Risk_Evaluation[[#This Row],[Actual Risk - 
G-6b]],_DATA!$H$3:$I$7,2,FALSE)-VLOOKUP('SL-T'!$B$18,_DATA!$H$3:$I$7,2,FALSE))</f>
        <v>0</v>
      </c>
      <c r="S22" s="122" t="str">
        <f>VLOOKUP(Risk_Evaluation[[#This Row],[Threat Catalogue]],_3_3_OVERVIEW_MITIGATING!$A$7:$B$66,2,FALSE)</f>
        <v/>
      </c>
      <c r="T22" s="177"/>
      <c r="U22" s="175"/>
      <c r="V22" s="175"/>
      <c r="W2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2" s="175"/>
      <c r="Y22" s="123" t="str" cm="1">
        <f t="array" ref="Y2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2" s="129">
        <f>IF(OR('SL-T'!$B$18="",Risk_Evaluation[[#This Row],[Actual Risk - 
G-6d]]=""),0,VLOOKUP(Risk_Evaluation[[#This Row],[Actual Risk - 
G-6d]],_DATA!$H$3:$I$7,2,FALSE)-VLOOKUP('SL-T'!$B$18,_DATA!$H$3:$I$7,2,FALSE))</f>
        <v>0</v>
      </c>
      <c r="AA22" s="124" t="str">
        <f>VLOOKUP(Risk_Evaluation[[#This Row],[Threat Catalogue]],_2_1_OVERVIEW!$A$7:$B$66,2,FALSE)</f>
        <v/>
      </c>
      <c r="AB22" s="181"/>
      <c r="AC22" s="182"/>
      <c r="AD22" s="175"/>
      <c r="AE22" s="175"/>
      <c r="AF2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2" s="175"/>
      <c r="AH22" s="125" t="str" cm="1">
        <f t="array" ref="AH2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2" s="132">
        <f>IF(OR('SL-T'!$B$18="",Risk_Evaluation[[#This Row],[Actual Risk - 
G-6f]]=""),0,VLOOKUP(Risk_Evaluation[[#This Row],[Actual Risk - 
G-6f]],_DATA!$H$3:$I$7,2,FALSE)-VLOOKUP('SL-T'!$B$18,_DATA!$H$3:$I$7,2,FALSE))</f>
        <v>0</v>
      </c>
      <c r="AJ22" s="187"/>
      <c r="AK22" s="188"/>
    </row>
    <row r="23" spans="1:37" s="10" customFormat="1">
      <c r="A23" s="126" t="str">
        <f>Attacker_Threat_Zone[[#This Row],[Threat Name]]</f>
        <v>G 0.37 Repudiation of Actions</v>
      </c>
      <c r="B23" s="119" t="str">
        <f>IF(ISBLANK(Attacker_Threat_Zone[[#This Row],[Relevance]]),"No",Attacker_Threat_Zone[[#This Row],[Relevance]])</f>
        <v>No</v>
      </c>
      <c r="C23" s="167"/>
      <c r="D23" s="167"/>
      <c r="E23" s="120" t="str">
        <f>VLOOKUP(Risk_Evaluation[[#This Row],[Threat Catalogue]],_3_3_OVERVIEW_PRE!$A$7:$B$66,2,FALSE)</f>
        <v/>
      </c>
      <c r="F23" s="171"/>
      <c r="G23" s="171"/>
      <c r="H23" s="127" t="str">
        <f>IF(ISBLANK(Attacker_Threat_Zone[[#This Row],[Exposure]]),"",Attacker_Threat_Zone[[#This Row],[Exposure]])</f>
        <v/>
      </c>
      <c r="I23" s="175"/>
      <c r="J23" s="127" t="str">
        <f>IF(ISBLANK(Attacker_Threat_Zone[[#This Row],[Vulnerability]]),"",Attacker_Threat_Zone[[#This Row],[Vulnerability]])</f>
        <v/>
      </c>
      <c r="K23" s="175"/>
      <c r="L23" s="128" t="str">
        <f>IF(Risk_Evaluation[[#This Row],[Exposure - G-6b]]&lt;&gt;"",MIN(Risk_Evaluation[[#This Row],[Exposure - G-6b]:[Exposure - 
G-6b
Override]]),"")</f>
        <v/>
      </c>
      <c r="M23" s="128" t="str">
        <f>IF(Risk_Evaluation[[#This Row],[Vulnerability - 
G-6b]]&lt;&gt;"",MIN(Risk_Evaluation[[#This Row],[Vulnerability - 
G-6b]:[Vulnerability - 
G-6b
Override]]),"")</f>
        <v/>
      </c>
      <c r="N23" s="128" t="str">
        <f>IF(COUNT(Risk_Evaluation[[#This Row],[Exp min]:[Vul min]])=2,Risk_Evaluation[[#This Row],[Exp min]]+Risk_Evaluation[[#This Row],[Vul min]]-1,"")</f>
        <v/>
      </c>
      <c r="O23" s="128" t="str">
        <f>Attacker_Threat_Zone[[#This Row],[Impact
Max]]</f>
        <v/>
      </c>
      <c r="P23" s="175"/>
      <c r="Q23" s="121" t="str" cm="1">
        <f t="array" ref="Q2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3" s="128">
        <f>IF(OR('SL-T'!$B$18="",Risk_Evaluation[[#This Row],[Actual Risk - 
G-6b]]=""),0,VLOOKUP(Risk_Evaluation[[#This Row],[Actual Risk - 
G-6b]],_DATA!$H$3:$I$7,2,FALSE)-VLOOKUP('SL-T'!$B$18,_DATA!$H$3:$I$7,2,FALSE))</f>
        <v>0</v>
      </c>
      <c r="S23" s="122" t="str">
        <f>VLOOKUP(Risk_Evaluation[[#This Row],[Threat Catalogue]],_3_3_OVERVIEW_MITIGATING!$A$7:$B$66,2,FALSE)</f>
        <v/>
      </c>
      <c r="T23" s="177"/>
      <c r="U23" s="175"/>
      <c r="V23" s="175"/>
      <c r="W2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3" s="175"/>
      <c r="Y23" s="123" t="str" cm="1">
        <f t="array" ref="Y2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3" s="129">
        <f>IF(OR('SL-T'!$B$18="",Risk_Evaluation[[#This Row],[Actual Risk - 
G-6d]]=""),0,VLOOKUP(Risk_Evaluation[[#This Row],[Actual Risk - 
G-6d]],_DATA!$H$3:$I$7,2,FALSE)-VLOOKUP('SL-T'!$B$18,_DATA!$H$3:$I$7,2,FALSE))</f>
        <v>0</v>
      </c>
      <c r="AA23" s="124" t="str">
        <f>VLOOKUP(Risk_Evaluation[[#This Row],[Threat Catalogue]],_2_1_OVERVIEW!$A$7:$B$66,2,FALSE)</f>
        <v/>
      </c>
      <c r="AB23" s="181"/>
      <c r="AC23" s="182"/>
      <c r="AD23" s="175"/>
      <c r="AE23" s="175"/>
      <c r="AF2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3" s="175"/>
      <c r="AH23" s="125" t="str" cm="1">
        <f t="array" ref="AH2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3" s="132">
        <f>IF(OR('SL-T'!$B$18="",Risk_Evaluation[[#This Row],[Actual Risk - 
G-6f]]=""),0,VLOOKUP(Risk_Evaluation[[#This Row],[Actual Risk - 
G-6f]],_DATA!$H$3:$I$7,2,FALSE)-VLOOKUP('SL-T'!$B$18,_DATA!$H$3:$I$7,2,FALSE))</f>
        <v>0</v>
      </c>
      <c r="AJ23" s="187"/>
      <c r="AK23" s="188"/>
    </row>
    <row r="24" spans="1:37" s="10" customFormat="1">
      <c r="A24" s="126" t="str">
        <f>Attacker_Threat_Zone[[#This Row],[Threat Name]]</f>
        <v>G 0.38 Misuse of Personal Information</v>
      </c>
      <c r="B24" s="119" t="str">
        <f>IF(ISBLANK(Attacker_Threat_Zone[[#This Row],[Relevance]]),"No",Attacker_Threat_Zone[[#This Row],[Relevance]])</f>
        <v>No</v>
      </c>
      <c r="C24" s="168"/>
      <c r="D24" s="167"/>
      <c r="E24" s="120" t="str">
        <f>VLOOKUP(Risk_Evaluation[[#This Row],[Threat Catalogue]],_3_3_OVERVIEW_PRE!$A$7:$B$66,2,FALSE)</f>
        <v/>
      </c>
      <c r="F24" s="171"/>
      <c r="G24" s="171"/>
      <c r="H24" s="127" t="str">
        <f>IF(ISBLANK(Attacker_Threat_Zone[[#This Row],[Exposure]]),"",Attacker_Threat_Zone[[#This Row],[Exposure]])</f>
        <v/>
      </c>
      <c r="I24" s="175"/>
      <c r="J24" s="127" t="str">
        <f>IF(ISBLANK(Attacker_Threat_Zone[[#This Row],[Vulnerability]]),"",Attacker_Threat_Zone[[#This Row],[Vulnerability]])</f>
        <v/>
      </c>
      <c r="K24" s="175"/>
      <c r="L24" s="128" t="str">
        <f>IF(Risk_Evaluation[[#This Row],[Exposure - G-6b]]&lt;&gt;"",MIN(Risk_Evaluation[[#This Row],[Exposure - G-6b]:[Exposure - 
G-6b
Override]]),"")</f>
        <v/>
      </c>
      <c r="M24" s="128" t="str">
        <f>IF(Risk_Evaluation[[#This Row],[Vulnerability - 
G-6b]]&lt;&gt;"",MIN(Risk_Evaluation[[#This Row],[Vulnerability - 
G-6b]:[Vulnerability - 
G-6b
Override]]),"")</f>
        <v/>
      </c>
      <c r="N24" s="128" t="str">
        <f>IF(COUNT(Risk_Evaluation[[#This Row],[Exp min]:[Vul min]])=2,Risk_Evaluation[[#This Row],[Exp min]]+Risk_Evaluation[[#This Row],[Vul min]]-1,"")</f>
        <v/>
      </c>
      <c r="O24" s="128" t="str">
        <f>Attacker_Threat_Zone[[#This Row],[Impact
Max]]</f>
        <v/>
      </c>
      <c r="P24" s="175"/>
      <c r="Q24" s="121" t="str" cm="1">
        <f t="array" ref="Q2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4" s="128">
        <f>IF(OR('SL-T'!$B$18="",Risk_Evaluation[[#This Row],[Actual Risk - 
G-6b]]=""),0,VLOOKUP(Risk_Evaluation[[#This Row],[Actual Risk - 
G-6b]],_DATA!$H$3:$I$7,2,FALSE)-VLOOKUP('SL-T'!$B$18,_DATA!$H$3:$I$7,2,FALSE))</f>
        <v>0</v>
      </c>
      <c r="S24" s="122" t="str">
        <f>VLOOKUP(Risk_Evaluation[[#This Row],[Threat Catalogue]],_3_3_OVERVIEW_MITIGATING!$A$7:$B$66,2,FALSE)</f>
        <v/>
      </c>
      <c r="T24" s="177"/>
      <c r="U24" s="175"/>
      <c r="V24" s="175"/>
      <c r="W24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4" s="175"/>
      <c r="Y24" s="123" t="str" cm="1">
        <f t="array" ref="Y2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4" s="129">
        <f>IF(OR('SL-T'!$B$18="",Risk_Evaluation[[#This Row],[Actual Risk - 
G-6d]]=""),0,VLOOKUP(Risk_Evaluation[[#This Row],[Actual Risk - 
G-6d]],_DATA!$H$3:$I$7,2,FALSE)-VLOOKUP('SL-T'!$B$18,_DATA!$H$3:$I$7,2,FALSE))</f>
        <v>0</v>
      </c>
      <c r="AA24" s="124" t="str">
        <f>VLOOKUP(Risk_Evaluation[[#This Row],[Threat Catalogue]],_2_1_OVERVIEW!$A$7:$B$66,2,FALSE)</f>
        <v/>
      </c>
      <c r="AB24" s="181"/>
      <c r="AC24" s="182"/>
      <c r="AD24" s="175"/>
      <c r="AE24" s="175"/>
      <c r="AF24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4" s="175"/>
      <c r="AH24" s="125" t="str" cm="1">
        <f t="array" ref="AH2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4" s="132">
        <f>IF(OR('SL-T'!$B$18="",Risk_Evaluation[[#This Row],[Actual Risk - 
G-6f]]=""),0,VLOOKUP(Risk_Evaluation[[#This Row],[Actual Risk - 
G-6f]],_DATA!$H$3:$I$7,2,FALSE)-VLOOKUP('SL-T'!$B$18,_DATA!$H$3:$I$7,2,FALSE))</f>
        <v>0</v>
      </c>
      <c r="AJ24" s="187"/>
      <c r="AK24" s="188"/>
    </row>
    <row r="25" spans="1:37" s="10" customFormat="1">
      <c r="A25" s="126" t="str">
        <f>Attacker_Threat_Zone[[#This Row],[Threat Name]]</f>
        <v>G 0.39 Malware</v>
      </c>
      <c r="B25" s="119" t="str">
        <f>IF(ISBLANK(Attacker_Threat_Zone[[#This Row],[Relevance]]),"No",Attacker_Threat_Zone[[#This Row],[Relevance]])</f>
        <v>No</v>
      </c>
      <c r="C25" s="167"/>
      <c r="D25" s="167"/>
      <c r="E25" s="120" t="str">
        <f>VLOOKUP(Risk_Evaluation[[#This Row],[Threat Catalogue]],_3_3_OVERVIEW_PRE!$A$7:$B$66,2,FALSE)</f>
        <v/>
      </c>
      <c r="F25" s="171"/>
      <c r="G25" s="171"/>
      <c r="H25" s="127" t="str">
        <f>IF(ISBLANK(Attacker_Threat_Zone[[#This Row],[Exposure]]),"",Attacker_Threat_Zone[[#This Row],[Exposure]])</f>
        <v/>
      </c>
      <c r="I25" s="175"/>
      <c r="J25" s="127" t="str">
        <f>IF(ISBLANK(Attacker_Threat_Zone[[#This Row],[Vulnerability]]),"",Attacker_Threat_Zone[[#This Row],[Vulnerability]])</f>
        <v/>
      </c>
      <c r="K25" s="175"/>
      <c r="L25" s="128" t="str">
        <f>IF(Risk_Evaluation[[#This Row],[Exposure - G-6b]]&lt;&gt;"",MIN(Risk_Evaluation[[#This Row],[Exposure - G-6b]:[Exposure - 
G-6b
Override]]),"")</f>
        <v/>
      </c>
      <c r="M25" s="128" t="str">
        <f>IF(Risk_Evaluation[[#This Row],[Vulnerability - 
G-6b]]&lt;&gt;"",MIN(Risk_Evaluation[[#This Row],[Vulnerability - 
G-6b]:[Vulnerability - 
G-6b
Override]]),"")</f>
        <v/>
      </c>
      <c r="N25" s="128" t="str">
        <f>IF(COUNT(Risk_Evaluation[[#This Row],[Exp min]:[Vul min]])=2,Risk_Evaluation[[#This Row],[Exp min]]+Risk_Evaluation[[#This Row],[Vul min]]-1,"")</f>
        <v/>
      </c>
      <c r="O25" s="128" t="str">
        <f>Attacker_Threat_Zone[[#This Row],[Impact
Max]]</f>
        <v/>
      </c>
      <c r="P25" s="175"/>
      <c r="Q25" s="121" t="str" cm="1">
        <f t="array" ref="Q2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5" s="128">
        <f>IF(OR('SL-T'!$B$18="",Risk_Evaluation[[#This Row],[Actual Risk - 
G-6b]]=""),0,VLOOKUP(Risk_Evaluation[[#This Row],[Actual Risk - 
G-6b]],_DATA!$H$3:$I$7,2,FALSE)-VLOOKUP('SL-T'!$B$18,_DATA!$H$3:$I$7,2,FALSE))</f>
        <v>0</v>
      </c>
      <c r="S25" s="122" t="str">
        <f>VLOOKUP(Risk_Evaluation[[#This Row],[Threat Catalogue]],_3_3_OVERVIEW_MITIGATING!$A$7:$B$66,2,FALSE)</f>
        <v/>
      </c>
      <c r="T25" s="177"/>
      <c r="U25" s="175"/>
      <c r="V25" s="175"/>
      <c r="W25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5" s="175"/>
      <c r="Y25" s="123" t="str" cm="1">
        <f t="array" ref="Y25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5" s="129">
        <f>IF(OR('SL-T'!$B$18="",Risk_Evaluation[[#This Row],[Actual Risk - 
G-6d]]=""),0,VLOOKUP(Risk_Evaluation[[#This Row],[Actual Risk - 
G-6d]],_DATA!$H$3:$I$7,2,FALSE)-VLOOKUP('SL-T'!$B$18,_DATA!$H$3:$I$7,2,FALSE))</f>
        <v>0</v>
      </c>
      <c r="AA25" s="124" t="str">
        <f>VLOOKUP(Risk_Evaluation[[#This Row],[Threat Catalogue]],_2_1_OVERVIEW!$A$7:$B$66,2,FALSE)</f>
        <v/>
      </c>
      <c r="AB25" s="181"/>
      <c r="AC25" s="182"/>
      <c r="AD25" s="175"/>
      <c r="AE25" s="175"/>
      <c r="AF25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5" s="175"/>
      <c r="AH25" s="125" t="str" cm="1">
        <f t="array" ref="AH25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5" s="132">
        <f>IF(OR('SL-T'!$B$18="",Risk_Evaluation[[#This Row],[Actual Risk - 
G-6f]]=""),0,VLOOKUP(Risk_Evaluation[[#This Row],[Actual Risk - 
G-6f]],_DATA!$H$3:$I$7,2,FALSE)-VLOOKUP('SL-T'!$B$18,_DATA!$H$3:$I$7,2,FALSE))</f>
        <v>0</v>
      </c>
      <c r="AJ25" s="187"/>
      <c r="AK25" s="188"/>
    </row>
    <row r="26" spans="1:37" s="10" customFormat="1">
      <c r="A26" s="126" t="str">
        <f>Attacker_Threat_Zone[[#This Row],[Threat Name]]</f>
        <v>G 0.40 Denial of Service</v>
      </c>
      <c r="B26" s="119" t="str">
        <f>IF(ISBLANK(Attacker_Threat_Zone[[#This Row],[Relevance]]),"No",Attacker_Threat_Zone[[#This Row],[Relevance]])</f>
        <v>No</v>
      </c>
      <c r="C26" s="167"/>
      <c r="D26" s="167"/>
      <c r="E26" s="120" t="str">
        <f>VLOOKUP(Risk_Evaluation[[#This Row],[Threat Catalogue]],_3_3_OVERVIEW_PRE!$A$7:$B$66,2,FALSE)</f>
        <v/>
      </c>
      <c r="F26" s="171"/>
      <c r="G26" s="171"/>
      <c r="H26" s="127" t="str">
        <f>IF(ISBLANK(Attacker_Threat_Zone[[#This Row],[Exposure]]),"",Attacker_Threat_Zone[[#This Row],[Exposure]])</f>
        <v/>
      </c>
      <c r="I26" s="175"/>
      <c r="J26" s="127" t="str">
        <f>IF(ISBLANK(Attacker_Threat_Zone[[#This Row],[Vulnerability]]),"",Attacker_Threat_Zone[[#This Row],[Vulnerability]])</f>
        <v/>
      </c>
      <c r="K26" s="175"/>
      <c r="L26" s="128" t="str">
        <f>IF(Risk_Evaluation[[#This Row],[Exposure - G-6b]]&lt;&gt;"",MIN(Risk_Evaluation[[#This Row],[Exposure - G-6b]:[Exposure - 
G-6b
Override]]),"")</f>
        <v/>
      </c>
      <c r="M26" s="128" t="str">
        <f>IF(Risk_Evaluation[[#This Row],[Vulnerability - 
G-6b]]&lt;&gt;"",MIN(Risk_Evaluation[[#This Row],[Vulnerability - 
G-6b]:[Vulnerability - 
G-6b
Override]]),"")</f>
        <v/>
      </c>
      <c r="N26" s="128" t="str">
        <f>IF(COUNT(Risk_Evaluation[[#This Row],[Exp min]:[Vul min]])=2,Risk_Evaluation[[#This Row],[Exp min]]+Risk_Evaluation[[#This Row],[Vul min]]-1,"")</f>
        <v/>
      </c>
      <c r="O26" s="128" t="str">
        <f>Attacker_Threat_Zone[[#This Row],[Impact
Max]]</f>
        <v/>
      </c>
      <c r="P26" s="175"/>
      <c r="Q26" s="121" t="str" cm="1">
        <f t="array" ref="Q2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6" s="128">
        <f>IF(OR('SL-T'!$B$18="",Risk_Evaluation[[#This Row],[Actual Risk - 
G-6b]]=""),0,VLOOKUP(Risk_Evaluation[[#This Row],[Actual Risk - 
G-6b]],_DATA!$H$3:$I$7,2,FALSE)-VLOOKUP('SL-T'!$B$18,_DATA!$H$3:$I$7,2,FALSE))</f>
        <v>0</v>
      </c>
      <c r="S26" s="122" t="str">
        <f>VLOOKUP(Risk_Evaluation[[#This Row],[Threat Catalogue]],_3_3_OVERVIEW_MITIGATING!$A$7:$B$66,2,FALSE)</f>
        <v/>
      </c>
      <c r="T26" s="177"/>
      <c r="U26" s="175"/>
      <c r="V26" s="175"/>
      <c r="W26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6" s="175"/>
      <c r="Y26" s="123" t="str" cm="1">
        <f t="array" ref="Y2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6" s="129">
        <f>IF(OR('SL-T'!$B$18="",Risk_Evaluation[[#This Row],[Actual Risk - 
G-6d]]=""),0,VLOOKUP(Risk_Evaluation[[#This Row],[Actual Risk - 
G-6d]],_DATA!$H$3:$I$7,2,FALSE)-VLOOKUP('SL-T'!$B$18,_DATA!$H$3:$I$7,2,FALSE))</f>
        <v>0</v>
      </c>
      <c r="AA26" s="124" t="str">
        <f>VLOOKUP(Risk_Evaluation[[#This Row],[Threat Catalogue]],_2_1_OVERVIEW!$A$7:$B$66,2,FALSE)</f>
        <v/>
      </c>
      <c r="AB26" s="181"/>
      <c r="AC26" s="182"/>
      <c r="AD26" s="175"/>
      <c r="AE26" s="175"/>
      <c r="AF26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6" s="175"/>
      <c r="AH26" s="125" t="str" cm="1">
        <f t="array" ref="AH2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6" s="132">
        <f>IF(OR('SL-T'!$B$18="",Risk_Evaluation[[#This Row],[Actual Risk - 
G-6f]]=""),0,VLOOKUP(Risk_Evaluation[[#This Row],[Actual Risk - 
G-6f]],_DATA!$H$3:$I$7,2,FALSE)-VLOOKUP('SL-T'!$B$18,_DATA!$H$3:$I$7,2,FALSE))</f>
        <v>0</v>
      </c>
      <c r="AJ26" s="187"/>
      <c r="AK26" s="188"/>
    </row>
    <row r="27" spans="1:37" s="10" customFormat="1">
      <c r="A27" s="126" t="str">
        <f>Attacker_Threat_Zone[[#This Row],[Threat Name]]</f>
        <v>G 0.42 Social Engineering</v>
      </c>
      <c r="B27" s="119" t="str">
        <f>IF(ISBLANK(Attacker_Threat_Zone[[#This Row],[Relevance]]),"No",Attacker_Threat_Zone[[#This Row],[Relevance]])</f>
        <v>No</v>
      </c>
      <c r="C27" s="167"/>
      <c r="D27" s="167"/>
      <c r="E27" s="120" t="str">
        <f>VLOOKUP(Risk_Evaluation[[#This Row],[Threat Catalogue]],_3_3_OVERVIEW_PRE!$A$7:$B$66,2,FALSE)</f>
        <v/>
      </c>
      <c r="F27" s="171"/>
      <c r="G27" s="171"/>
      <c r="H27" s="127" t="str">
        <f>IF(ISBLANK(Attacker_Threat_Zone[[#This Row],[Exposure]]),"",Attacker_Threat_Zone[[#This Row],[Exposure]])</f>
        <v/>
      </c>
      <c r="I27" s="175"/>
      <c r="J27" s="127" t="str">
        <f>IF(ISBLANK(Attacker_Threat_Zone[[#This Row],[Vulnerability]]),"",Attacker_Threat_Zone[[#This Row],[Vulnerability]])</f>
        <v/>
      </c>
      <c r="K27" s="175"/>
      <c r="L27" s="128" t="str">
        <f>IF(Risk_Evaluation[[#This Row],[Exposure - G-6b]]&lt;&gt;"",MIN(Risk_Evaluation[[#This Row],[Exposure - G-6b]:[Exposure - 
G-6b
Override]]),"")</f>
        <v/>
      </c>
      <c r="M27" s="128" t="str">
        <f>IF(Risk_Evaluation[[#This Row],[Vulnerability - 
G-6b]]&lt;&gt;"",MIN(Risk_Evaluation[[#This Row],[Vulnerability - 
G-6b]:[Vulnerability - 
G-6b
Override]]),"")</f>
        <v/>
      </c>
      <c r="N27" s="128" t="str">
        <f>IF(COUNT(Risk_Evaluation[[#This Row],[Exp min]:[Vul min]])=2,Risk_Evaluation[[#This Row],[Exp min]]+Risk_Evaluation[[#This Row],[Vul min]]-1,"")</f>
        <v/>
      </c>
      <c r="O27" s="128" t="str">
        <f>Attacker_Threat_Zone[[#This Row],[Impact
Max]]</f>
        <v/>
      </c>
      <c r="P27" s="175"/>
      <c r="Q27" s="121" t="str" cm="1">
        <f t="array" ref="Q2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7" s="128">
        <f>IF(OR('SL-T'!$B$18="",Risk_Evaluation[[#This Row],[Actual Risk - 
G-6b]]=""),0,VLOOKUP(Risk_Evaluation[[#This Row],[Actual Risk - 
G-6b]],_DATA!$H$3:$I$7,2,FALSE)-VLOOKUP('SL-T'!$B$18,_DATA!$H$3:$I$7,2,FALSE))</f>
        <v>0</v>
      </c>
      <c r="S27" s="122" t="str">
        <f>VLOOKUP(Risk_Evaluation[[#This Row],[Threat Catalogue]],_3_3_OVERVIEW_MITIGATING!$A$7:$B$66,2,FALSE)</f>
        <v/>
      </c>
      <c r="T27" s="177"/>
      <c r="U27" s="175"/>
      <c r="V27" s="175"/>
      <c r="W27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7" s="175"/>
      <c r="Y27" s="123" t="str" cm="1">
        <f t="array" ref="Y2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7" s="129">
        <f>IF(OR('SL-T'!$B$18="",Risk_Evaluation[[#This Row],[Actual Risk - 
G-6d]]=""),0,VLOOKUP(Risk_Evaluation[[#This Row],[Actual Risk - 
G-6d]],_DATA!$H$3:$I$7,2,FALSE)-VLOOKUP('SL-T'!$B$18,_DATA!$H$3:$I$7,2,FALSE))</f>
        <v>0</v>
      </c>
      <c r="AA27" s="124" t="str">
        <f>VLOOKUP(Risk_Evaluation[[#This Row],[Threat Catalogue]],_2_1_OVERVIEW!$A$7:$B$66,2,FALSE)</f>
        <v/>
      </c>
      <c r="AB27" s="181"/>
      <c r="AC27" s="182"/>
      <c r="AD27" s="175"/>
      <c r="AE27" s="175"/>
      <c r="AF27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7" s="175"/>
      <c r="AH27" s="125" t="str" cm="1">
        <f t="array" ref="AH2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7" s="132">
        <f>IF(OR('SL-T'!$B$18="",Risk_Evaluation[[#This Row],[Actual Risk - 
G-6f]]=""),0,VLOOKUP(Risk_Evaluation[[#This Row],[Actual Risk - 
G-6f]],_DATA!$H$3:$I$7,2,FALSE)-VLOOKUP('SL-T'!$B$18,_DATA!$H$3:$I$7,2,FALSE))</f>
        <v>0</v>
      </c>
      <c r="AJ27" s="187"/>
      <c r="AK27" s="188"/>
    </row>
    <row r="28" spans="1:37" s="10" customFormat="1">
      <c r="A28" s="126" t="str">
        <f>Attacker_Threat_Zone[[#This Row],[Threat Name]]</f>
        <v>G 0.43 Attack with Specially Crafted Messages</v>
      </c>
      <c r="B28" s="119" t="str">
        <f>IF(ISBLANK(Attacker_Threat_Zone[[#This Row],[Relevance]]),"No",Attacker_Threat_Zone[[#This Row],[Relevance]])</f>
        <v>No</v>
      </c>
      <c r="C28" s="167"/>
      <c r="D28" s="167"/>
      <c r="E28" s="120" t="str">
        <f>VLOOKUP(Risk_Evaluation[[#This Row],[Threat Catalogue]],_3_3_OVERVIEW_PRE!$A$7:$B$66,2,FALSE)</f>
        <v/>
      </c>
      <c r="F28" s="171"/>
      <c r="G28" s="171"/>
      <c r="H28" s="127" t="str">
        <f>IF(ISBLANK(Attacker_Threat_Zone[[#This Row],[Exposure]]),"",Attacker_Threat_Zone[[#This Row],[Exposure]])</f>
        <v/>
      </c>
      <c r="I28" s="175"/>
      <c r="J28" s="127" t="str">
        <f>IF(ISBLANK(Attacker_Threat_Zone[[#This Row],[Vulnerability]]),"",Attacker_Threat_Zone[[#This Row],[Vulnerability]])</f>
        <v/>
      </c>
      <c r="K28" s="175"/>
      <c r="L28" s="128" t="str">
        <f>IF(Risk_Evaluation[[#This Row],[Exposure - G-6b]]&lt;&gt;"",MIN(Risk_Evaluation[[#This Row],[Exposure - G-6b]:[Exposure - 
G-6b
Override]]),"")</f>
        <v/>
      </c>
      <c r="M28" s="128" t="str">
        <f>IF(Risk_Evaluation[[#This Row],[Vulnerability - 
G-6b]]&lt;&gt;"",MIN(Risk_Evaluation[[#This Row],[Vulnerability - 
G-6b]:[Vulnerability - 
G-6b
Override]]),"")</f>
        <v/>
      </c>
      <c r="N28" s="128" t="str">
        <f>IF(COUNT(Risk_Evaluation[[#This Row],[Exp min]:[Vul min]])=2,Risk_Evaluation[[#This Row],[Exp min]]+Risk_Evaluation[[#This Row],[Vul min]]-1,"")</f>
        <v/>
      </c>
      <c r="O28" s="128" t="str">
        <f>Attacker_Threat_Zone[[#This Row],[Impact
Max]]</f>
        <v/>
      </c>
      <c r="P28" s="175"/>
      <c r="Q28" s="121" t="str" cm="1">
        <f t="array" ref="Q2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8" s="128">
        <f>IF(OR('SL-T'!$B$18="",Risk_Evaluation[[#This Row],[Actual Risk - 
G-6b]]=""),0,VLOOKUP(Risk_Evaluation[[#This Row],[Actual Risk - 
G-6b]],_DATA!$H$3:$I$7,2,FALSE)-VLOOKUP('SL-T'!$B$18,_DATA!$H$3:$I$7,2,FALSE))</f>
        <v>0</v>
      </c>
      <c r="S28" s="122" t="str">
        <f>VLOOKUP(Risk_Evaluation[[#This Row],[Threat Catalogue]],_3_3_OVERVIEW_MITIGATING!$A$7:$B$66,2,FALSE)</f>
        <v/>
      </c>
      <c r="T28" s="177"/>
      <c r="U28" s="175"/>
      <c r="V28" s="175"/>
      <c r="W2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8" s="175"/>
      <c r="Y28" s="123" t="str" cm="1">
        <f t="array" ref="Y2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8" s="129">
        <f>IF(OR('SL-T'!$B$18="",Risk_Evaluation[[#This Row],[Actual Risk - 
G-6d]]=""),0,VLOOKUP(Risk_Evaluation[[#This Row],[Actual Risk - 
G-6d]],_DATA!$H$3:$I$7,2,FALSE)-VLOOKUP('SL-T'!$B$18,_DATA!$H$3:$I$7,2,FALSE))</f>
        <v>0</v>
      </c>
      <c r="AA28" s="124" t="str">
        <f>VLOOKUP(Risk_Evaluation[[#This Row],[Threat Catalogue]],_2_1_OVERVIEW!$A$7:$B$66,2,FALSE)</f>
        <v/>
      </c>
      <c r="AB28" s="181"/>
      <c r="AC28" s="182"/>
      <c r="AD28" s="175"/>
      <c r="AE28" s="175"/>
      <c r="AF2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8" s="175"/>
      <c r="AH28" s="125" t="str" cm="1">
        <f t="array" ref="AH2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8" s="132">
        <f>IF(OR('SL-T'!$B$18="",Risk_Evaluation[[#This Row],[Actual Risk - 
G-6f]]=""),0,VLOOKUP(Risk_Evaluation[[#This Row],[Actual Risk - 
G-6f]],_DATA!$H$3:$I$7,2,FALSE)-VLOOKUP('SL-T'!$B$18,_DATA!$H$3:$I$7,2,FALSE))</f>
        <v>0</v>
      </c>
      <c r="AJ28" s="187"/>
      <c r="AK28" s="188"/>
    </row>
    <row r="29" spans="1:37" s="10" customFormat="1">
      <c r="A29" s="126" t="str">
        <f>Attacker_Threat_Zone[[#This Row],[Threat Name]]</f>
        <v>G 0.44 Unauthorised Entry to Premises</v>
      </c>
      <c r="B29" s="119" t="str">
        <f>IF(ISBLANK(Attacker_Threat_Zone[[#This Row],[Relevance]]),"No",Attacker_Threat_Zone[[#This Row],[Relevance]])</f>
        <v>No</v>
      </c>
      <c r="C29" s="167"/>
      <c r="D29" s="167"/>
      <c r="E29" s="120" t="str">
        <f>VLOOKUP(Risk_Evaluation[[#This Row],[Threat Catalogue]],_3_3_OVERVIEW_PRE!$A$7:$B$66,2,FALSE)</f>
        <v/>
      </c>
      <c r="F29" s="171"/>
      <c r="G29" s="171"/>
      <c r="H29" s="127" t="str">
        <f>IF(ISBLANK(Attacker_Threat_Zone[[#This Row],[Exposure]]),"",Attacker_Threat_Zone[[#This Row],[Exposure]])</f>
        <v/>
      </c>
      <c r="I29" s="175"/>
      <c r="J29" s="127" t="str">
        <f>IF(ISBLANK(Attacker_Threat_Zone[[#This Row],[Vulnerability]]),"",Attacker_Threat_Zone[[#This Row],[Vulnerability]])</f>
        <v/>
      </c>
      <c r="K29" s="175"/>
      <c r="L29" s="128" t="str">
        <f>IF(Risk_Evaluation[[#This Row],[Exposure - G-6b]]&lt;&gt;"",MIN(Risk_Evaluation[[#This Row],[Exposure - G-6b]:[Exposure - 
G-6b
Override]]),"")</f>
        <v/>
      </c>
      <c r="M29" s="128" t="str">
        <f>IF(Risk_Evaluation[[#This Row],[Vulnerability - 
G-6b]]&lt;&gt;"",MIN(Risk_Evaluation[[#This Row],[Vulnerability - 
G-6b]:[Vulnerability - 
G-6b
Override]]),"")</f>
        <v/>
      </c>
      <c r="N29" s="128" t="str">
        <f>IF(COUNT(Risk_Evaluation[[#This Row],[Exp min]:[Vul min]])=2,Risk_Evaluation[[#This Row],[Exp min]]+Risk_Evaluation[[#This Row],[Vul min]]-1,"")</f>
        <v/>
      </c>
      <c r="O29" s="128" t="str">
        <f>Attacker_Threat_Zone[[#This Row],[Impact
Max]]</f>
        <v/>
      </c>
      <c r="P29" s="175"/>
      <c r="Q29" s="121" t="str" cm="1">
        <f t="array" ref="Q2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29" s="128">
        <f>IF(OR('SL-T'!$B$18="",Risk_Evaluation[[#This Row],[Actual Risk - 
G-6b]]=""),0,VLOOKUP(Risk_Evaluation[[#This Row],[Actual Risk - 
G-6b]],_DATA!$H$3:$I$7,2,FALSE)-VLOOKUP('SL-T'!$B$18,_DATA!$H$3:$I$7,2,FALSE))</f>
        <v>0</v>
      </c>
      <c r="S29" s="122" t="str">
        <f>VLOOKUP(Risk_Evaluation[[#This Row],[Threat Catalogue]],_3_3_OVERVIEW_MITIGATING!$A$7:$B$66,2,FALSE)</f>
        <v/>
      </c>
      <c r="T29" s="177"/>
      <c r="U29" s="175"/>
      <c r="V29" s="175"/>
      <c r="W2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29" s="175"/>
      <c r="Y29" s="123" t="str" cm="1">
        <f t="array" ref="Y2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29" s="129">
        <f>IF(OR('SL-T'!$B$18="",Risk_Evaluation[[#This Row],[Actual Risk - 
G-6d]]=""),0,VLOOKUP(Risk_Evaluation[[#This Row],[Actual Risk - 
G-6d]],_DATA!$H$3:$I$7,2,FALSE)-VLOOKUP('SL-T'!$B$18,_DATA!$H$3:$I$7,2,FALSE))</f>
        <v>0</v>
      </c>
      <c r="AA29" s="124" t="str">
        <f>VLOOKUP(Risk_Evaluation[[#This Row],[Threat Catalogue]],_2_1_OVERVIEW!$A$7:$B$66,2,FALSE)</f>
        <v/>
      </c>
      <c r="AB29" s="181"/>
      <c r="AC29" s="182"/>
      <c r="AD29" s="175"/>
      <c r="AE29" s="175"/>
      <c r="AF2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29" s="175"/>
      <c r="AH29" s="125" t="str" cm="1">
        <f t="array" ref="AH2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29" s="132">
        <f>IF(OR('SL-T'!$B$18="",Risk_Evaluation[[#This Row],[Actual Risk - 
G-6f]]=""),0,VLOOKUP(Risk_Evaluation[[#This Row],[Actual Risk - 
G-6f]],_DATA!$H$3:$I$7,2,FALSE)-VLOOKUP('SL-T'!$B$18,_DATA!$H$3:$I$7,2,FALSE))</f>
        <v>0</v>
      </c>
      <c r="AJ29" s="187"/>
      <c r="AK29" s="188"/>
    </row>
    <row r="30" spans="1:37" s="10" customFormat="1">
      <c r="A30" s="126" t="str">
        <f>Attacker_Threat_Zone[[#This Row],[Threat Name]]</f>
        <v>G 0.45 Data Loss</v>
      </c>
      <c r="B30" s="119" t="str">
        <f>IF(ISBLANK(Attacker_Threat_Zone[[#This Row],[Relevance]]),"No",Attacker_Threat_Zone[[#This Row],[Relevance]])</f>
        <v>No</v>
      </c>
      <c r="C30" s="167"/>
      <c r="D30" s="167"/>
      <c r="E30" s="120" t="str">
        <f>VLOOKUP(Risk_Evaluation[[#This Row],[Threat Catalogue]],_3_3_OVERVIEW_PRE!$A$7:$B$66,2,FALSE)</f>
        <v/>
      </c>
      <c r="F30" s="171"/>
      <c r="G30" s="171"/>
      <c r="H30" s="127" t="str">
        <f>IF(ISBLANK(Attacker_Threat_Zone[[#This Row],[Exposure]]),"",Attacker_Threat_Zone[[#This Row],[Exposure]])</f>
        <v/>
      </c>
      <c r="I30" s="175"/>
      <c r="J30" s="127" t="str">
        <f>IF(ISBLANK(Attacker_Threat_Zone[[#This Row],[Vulnerability]]),"",Attacker_Threat_Zone[[#This Row],[Vulnerability]])</f>
        <v/>
      </c>
      <c r="K30" s="175"/>
      <c r="L30" s="128" t="str">
        <f>IF(Risk_Evaluation[[#This Row],[Exposure - G-6b]]&lt;&gt;"",MIN(Risk_Evaluation[[#This Row],[Exposure - G-6b]:[Exposure - 
G-6b
Override]]),"")</f>
        <v/>
      </c>
      <c r="M30" s="128" t="str">
        <f>IF(Risk_Evaluation[[#This Row],[Vulnerability - 
G-6b]]&lt;&gt;"",MIN(Risk_Evaluation[[#This Row],[Vulnerability - 
G-6b]:[Vulnerability - 
G-6b
Override]]),"")</f>
        <v/>
      </c>
      <c r="N30" s="128" t="str">
        <f>IF(COUNT(Risk_Evaluation[[#This Row],[Exp min]:[Vul min]])=2,Risk_Evaluation[[#This Row],[Exp min]]+Risk_Evaluation[[#This Row],[Vul min]]-1,"")</f>
        <v/>
      </c>
      <c r="O30" s="128" t="str">
        <f>Attacker_Threat_Zone[[#This Row],[Impact
Max]]</f>
        <v/>
      </c>
      <c r="P30" s="175"/>
      <c r="Q30" s="121" t="str" cm="1">
        <f t="array" ref="Q3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0" s="128">
        <f>IF(OR('SL-T'!$B$18="",Risk_Evaluation[[#This Row],[Actual Risk - 
G-6b]]=""),0,VLOOKUP(Risk_Evaluation[[#This Row],[Actual Risk - 
G-6b]],_DATA!$H$3:$I$7,2,FALSE)-VLOOKUP('SL-T'!$B$18,_DATA!$H$3:$I$7,2,FALSE))</f>
        <v>0</v>
      </c>
      <c r="S30" s="122" t="str">
        <f>VLOOKUP(Risk_Evaluation[[#This Row],[Threat Catalogue]],_3_3_OVERVIEW_MITIGATING!$A$7:$B$66,2,FALSE)</f>
        <v/>
      </c>
      <c r="T30" s="177"/>
      <c r="U30" s="175"/>
      <c r="V30" s="175"/>
      <c r="W3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0" s="175"/>
      <c r="Y30" s="123" t="str" cm="1">
        <f t="array" ref="Y3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0" s="129">
        <f>IF(OR('SL-T'!$B$18="",Risk_Evaluation[[#This Row],[Actual Risk - 
G-6d]]=""),0,VLOOKUP(Risk_Evaluation[[#This Row],[Actual Risk - 
G-6d]],_DATA!$H$3:$I$7,2,FALSE)-VLOOKUP('SL-T'!$B$18,_DATA!$H$3:$I$7,2,FALSE))</f>
        <v>0</v>
      </c>
      <c r="AA30" s="124" t="str">
        <f>VLOOKUP(Risk_Evaluation[[#This Row],[Threat Catalogue]],_2_1_OVERVIEW!$A$7:$B$66,2,FALSE)</f>
        <v/>
      </c>
      <c r="AB30" s="181"/>
      <c r="AC30" s="182"/>
      <c r="AD30" s="175"/>
      <c r="AE30" s="175"/>
      <c r="AF3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0" s="175"/>
      <c r="AH30" s="125" t="str" cm="1">
        <f t="array" ref="AH3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0" s="132">
        <f>IF(OR('SL-T'!$B$18="",Risk_Evaluation[[#This Row],[Actual Risk - 
G-6f]]=""),0,VLOOKUP(Risk_Evaluation[[#This Row],[Actual Risk - 
G-6f]],_DATA!$H$3:$I$7,2,FALSE)-VLOOKUP('SL-T'!$B$18,_DATA!$H$3:$I$7,2,FALSE))</f>
        <v>0</v>
      </c>
      <c r="AJ30" s="187"/>
      <c r="AK30" s="188"/>
    </row>
    <row r="31" spans="1:37" s="10" customFormat="1">
      <c r="A31" s="126" t="str">
        <f>Attacker_Threat_Zone[[#This Row],[Threat Name]]</f>
        <v>G 0.46 Loss of Integrity of Sensitive Information</v>
      </c>
      <c r="B31" s="119" t="str">
        <f>IF(ISBLANK(Attacker_Threat_Zone[[#This Row],[Relevance]]),"No",Attacker_Threat_Zone[[#This Row],[Relevance]])</f>
        <v>No</v>
      </c>
      <c r="C31" s="167"/>
      <c r="D31" s="167"/>
      <c r="E31" s="120" t="str">
        <f>VLOOKUP(Risk_Evaluation[[#This Row],[Threat Catalogue]],_3_3_OVERVIEW_PRE!$A$7:$B$66,2,FALSE)</f>
        <v/>
      </c>
      <c r="F31" s="171"/>
      <c r="G31" s="171"/>
      <c r="H31" s="127" t="str">
        <f>IF(ISBLANK(Attacker_Threat_Zone[[#This Row],[Exposure]]),"",Attacker_Threat_Zone[[#This Row],[Exposure]])</f>
        <v/>
      </c>
      <c r="I31" s="175"/>
      <c r="J31" s="127" t="str">
        <f>IF(ISBLANK(Attacker_Threat_Zone[[#This Row],[Vulnerability]]),"",Attacker_Threat_Zone[[#This Row],[Vulnerability]])</f>
        <v/>
      </c>
      <c r="K31" s="175"/>
      <c r="L31" s="128" t="str">
        <f>IF(Risk_Evaluation[[#This Row],[Exposure - G-6b]]&lt;&gt;"",MIN(Risk_Evaluation[[#This Row],[Exposure - G-6b]:[Exposure - 
G-6b
Override]]),"")</f>
        <v/>
      </c>
      <c r="M31" s="128" t="str">
        <f>IF(Risk_Evaluation[[#This Row],[Vulnerability - 
G-6b]]&lt;&gt;"",MIN(Risk_Evaluation[[#This Row],[Vulnerability - 
G-6b]:[Vulnerability - 
G-6b
Override]]),"")</f>
        <v/>
      </c>
      <c r="N31" s="128" t="str">
        <f>IF(COUNT(Risk_Evaluation[[#This Row],[Exp min]:[Vul min]])=2,Risk_Evaluation[[#This Row],[Exp min]]+Risk_Evaluation[[#This Row],[Vul min]]-1,"")</f>
        <v/>
      </c>
      <c r="O31" s="128" t="str">
        <f>Attacker_Threat_Zone[[#This Row],[Impact
Max]]</f>
        <v/>
      </c>
      <c r="P31" s="175"/>
      <c r="Q31" s="121" t="str" cm="1">
        <f t="array" ref="Q3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1" s="128">
        <f>IF(OR('SL-T'!$B$18="",Risk_Evaluation[[#This Row],[Actual Risk - 
G-6b]]=""),0,VLOOKUP(Risk_Evaluation[[#This Row],[Actual Risk - 
G-6b]],_DATA!$H$3:$I$7,2,FALSE)-VLOOKUP('SL-T'!$B$18,_DATA!$H$3:$I$7,2,FALSE))</f>
        <v>0</v>
      </c>
      <c r="S31" s="122" t="str">
        <f>VLOOKUP(Risk_Evaluation[[#This Row],[Threat Catalogue]],_3_3_OVERVIEW_MITIGATING!$A$7:$B$66,2,FALSE)</f>
        <v/>
      </c>
      <c r="T31" s="177"/>
      <c r="U31" s="175"/>
      <c r="V31" s="175"/>
      <c r="W3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1" s="175"/>
      <c r="Y31" s="123" t="str" cm="1">
        <f t="array" ref="Y3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1" s="129">
        <f>IF(OR('SL-T'!$B$18="",Risk_Evaluation[[#This Row],[Actual Risk - 
G-6d]]=""),0,VLOOKUP(Risk_Evaluation[[#This Row],[Actual Risk - 
G-6d]],_DATA!$H$3:$I$7,2,FALSE)-VLOOKUP('SL-T'!$B$18,_DATA!$H$3:$I$7,2,FALSE))</f>
        <v>0</v>
      </c>
      <c r="AA31" s="124" t="str">
        <f>VLOOKUP(Risk_Evaluation[[#This Row],[Threat Catalogue]],_2_1_OVERVIEW!$A$7:$B$66,2,FALSE)</f>
        <v/>
      </c>
      <c r="AB31" s="181"/>
      <c r="AC31" s="182"/>
      <c r="AD31" s="175"/>
      <c r="AE31" s="175"/>
      <c r="AF3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1" s="175"/>
      <c r="AH31" s="125" t="str" cm="1">
        <f t="array" ref="AH3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1" s="132">
        <f>IF(OR('SL-T'!$B$18="",Risk_Evaluation[[#This Row],[Actual Risk - 
G-6f]]=""),0,VLOOKUP(Risk_Evaluation[[#This Row],[Actual Risk - 
G-6f]],_DATA!$H$3:$I$7,2,FALSE)-VLOOKUP('SL-T'!$B$18,_DATA!$H$3:$I$7,2,FALSE))</f>
        <v>0</v>
      </c>
      <c r="AJ31" s="187"/>
      <c r="AK31" s="188"/>
    </row>
    <row r="32" spans="1:37" s="10" customFormat="1" ht="28.8">
      <c r="A32" s="126" t="str">
        <f>Attacker_Threat_Zone[[#This Row],[Threat Name]]</f>
        <v>G 0.47 Harmful Side Effects of IT-Supported Attacks</v>
      </c>
      <c r="B32" s="119" t="str">
        <f>IF(ISBLANK(Attacker_Threat_Zone[[#This Row],[Relevance]]),"No",Attacker_Threat_Zone[[#This Row],[Relevance]])</f>
        <v>No</v>
      </c>
      <c r="C32" s="167"/>
      <c r="D32" s="167"/>
      <c r="E32" s="120" t="str">
        <f>VLOOKUP(Risk_Evaluation[[#This Row],[Threat Catalogue]],_3_3_OVERVIEW_PRE!$A$7:$B$66,2,FALSE)</f>
        <v/>
      </c>
      <c r="F32" s="171"/>
      <c r="G32" s="171"/>
      <c r="H32" s="127" t="str">
        <f>IF(ISBLANK(Attacker_Threat_Zone[[#This Row],[Exposure]]),"",Attacker_Threat_Zone[[#This Row],[Exposure]])</f>
        <v/>
      </c>
      <c r="I32" s="175"/>
      <c r="J32" s="127" t="str">
        <f>IF(ISBLANK(Attacker_Threat_Zone[[#This Row],[Vulnerability]]),"",Attacker_Threat_Zone[[#This Row],[Vulnerability]])</f>
        <v/>
      </c>
      <c r="K32" s="175"/>
      <c r="L32" s="128" t="str">
        <f>IF(Risk_Evaluation[[#This Row],[Exposure - G-6b]]&lt;&gt;"",MIN(Risk_Evaluation[[#This Row],[Exposure - G-6b]:[Exposure - 
G-6b
Override]]),"")</f>
        <v/>
      </c>
      <c r="M32" s="128" t="str">
        <f>IF(Risk_Evaluation[[#This Row],[Vulnerability - 
G-6b]]&lt;&gt;"",MIN(Risk_Evaluation[[#This Row],[Vulnerability - 
G-6b]:[Vulnerability - 
G-6b
Override]]),"")</f>
        <v/>
      </c>
      <c r="N32" s="128" t="str">
        <f>IF(COUNT(Risk_Evaluation[[#This Row],[Exp min]:[Vul min]])=2,Risk_Evaluation[[#This Row],[Exp min]]+Risk_Evaluation[[#This Row],[Vul min]]-1,"")</f>
        <v/>
      </c>
      <c r="O32" s="128" t="str">
        <f>Attacker_Threat_Zone[[#This Row],[Impact
Max]]</f>
        <v/>
      </c>
      <c r="P32" s="175"/>
      <c r="Q32" s="121" t="str" cm="1">
        <f t="array" ref="Q3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2" s="128">
        <f>IF(OR('SL-T'!$B$18="",Risk_Evaluation[[#This Row],[Actual Risk - 
G-6b]]=""),0,VLOOKUP(Risk_Evaluation[[#This Row],[Actual Risk - 
G-6b]],_DATA!$H$3:$I$7,2,FALSE)-VLOOKUP('SL-T'!$B$18,_DATA!$H$3:$I$7,2,FALSE))</f>
        <v>0</v>
      </c>
      <c r="S32" s="122" t="str">
        <f>VLOOKUP(Risk_Evaluation[[#This Row],[Threat Catalogue]],_3_3_OVERVIEW_MITIGATING!$A$7:$B$66,2,FALSE)</f>
        <v/>
      </c>
      <c r="T32" s="177"/>
      <c r="U32" s="175"/>
      <c r="V32" s="175"/>
      <c r="W3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2" s="175"/>
      <c r="Y32" s="123" t="str" cm="1">
        <f t="array" ref="Y3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2" s="129">
        <f>IF(OR('SL-T'!$B$18="",Risk_Evaluation[[#This Row],[Actual Risk - 
G-6d]]=""),0,VLOOKUP(Risk_Evaluation[[#This Row],[Actual Risk - 
G-6d]],_DATA!$H$3:$I$7,2,FALSE)-VLOOKUP('SL-T'!$B$18,_DATA!$H$3:$I$7,2,FALSE))</f>
        <v>0</v>
      </c>
      <c r="AA32" s="124" t="str">
        <f>VLOOKUP(Risk_Evaluation[[#This Row],[Threat Catalogue]],_2_1_OVERVIEW!$A$7:$B$66,2,FALSE)</f>
        <v/>
      </c>
      <c r="AB32" s="181"/>
      <c r="AC32" s="182"/>
      <c r="AD32" s="175"/>
      <c r="AE32" s="175"/>
      <c r="AF3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2" s="175"/>
      <c r="AH32" s="125" t="str" cm="1">
        <f t="array" ref="AH3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2" s="132">
        <f>IF(OR('SL-T'!$B$18="",Risk_Evaluation[[#This Row],[Actual Risk - 
G-6f]]=""),0,VLOOKUP(Risk_Evaluation[[#This Row],[Actual Risk - 
G-6f]],_DATA!$H$3:$I$7,2,FALSE)-VLOOKUP('SL-T'!$B$18,_DATA!$H$3:$I$7,2,FALSE))</f>
        <v>0</v>
      </c>
      <c r="AJ32" s="187"/>
      <c r="AK32" s="188"/>
    </row>
    <row r="33" spans="1:37" s="10" customFormat="1" ht="28.8">
      <c r="A33" s="126" t="str">
        <f>Attacker_Threat_Zone[[#This Row],[Threat Name]]</f>
        <v>IND.1.2 Insufficient integration of OT into the security organisation</v>
      </c>
      <c r="B33" s="119" t="str">
        <f>IF(ISBLANK(Attacker_Threat_Zone[[#This Row],[Relevance]]),"No",Attacker_Threat_Zone[[#This Row],[Relevance]])</f>
        <v>No</v>
      </c>
      <c r="C33" s="167"/>
      <c r="D33" s="167"/>
      <c r="E33" s="120" t="str">
        <f>VLOOKUP(Risk_Evaluation[[#This Row],[Threat Catalogue]],_3_3_OVERVIEW_PRE!$A$7:$B$66,2,FALSE)</f>
        <v/>
      </c>
      <c r="F33" s="171"/>
      <c r="G33" s="171"/>
      <c r="H33" s="127" t="str">
        <f>IF(ISBLANK(Attacker_Threat_Zone[[#This Row],[Exposure]]),"",Attacker_Threat_Zone[[#This Row],[Exposure]])</f>
        <v/>
      </c>
      <c r="I33" s="175"/>
      <c r="J33" s="127" t="str">
        <f>IF(ISBLANK(Attacker_Threat_Zone[[#This Row],[Vulnerability]]),"",Attacker_Threat_Zone[[#This Row],[Vulnerability]])</f>
        <v/>
      </c>
      <c r="K33" s="175"/>
      <c r="L33" s="128" t="str">
        <f>IF(Risk_Evaluation[[#This Row],[Exposure - G-6b]]&lt;&gt;"",MIN(Risk_Evaluation[[#This Row],[Exposure - G-6b]:[Exposure - 
G-6b
Override]]),"")</f>
        <v/>
      </c>
      <c r="M33" s="128" t="str">
        <f>IF(Risk_Evaluation[[#This Row],[Vulnerability - 
G-6b]]&lt;&gt;"",MIN(Risk_Evaluation[[#This Row],[Vulnerability - 
G-6b]:[Vulnerability - 
G-6b
Override]]),"")</f>
        <v/>
      </c>
      <c r="N33" s="128" t="str">
        <f>IF(COUNT(Risk_Evaluation[[#This Row],[Exp min]:[Vul min]])=2,Risk_Evaluation[[#This Row],[Exp min]]+Risk_Evaluation[[#This Row],[Vul min]]-1,"")</f>
        <v/>
      </c>
      <c r="O33" s="128" t="str">
        <f>Attacker_Threat_Zone[[#This Row],[Impact
Max]]</f>
        <v/>
      </c>
      <c r="P33" s="175"/>
      <c r="Q33" s="121" t="str" cm="1">
        <f t="array" ref="Q3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3" s="128">
        <f>IF(OR('SL-T'!$B$18="",Risk_Evaluation[[#This Row],[Actual Risk - 
G-6b]]=""),0,VLOOKUP(Risk_Evaluation[[#This Row],[Actual Risk - 
G-6b]],_DATA!$H$3:$I$7,2,FALSE)-VLOOKUP('SL-T'!$B$18,_DATA!$H$3:$I$7,2,FALSE))</f>
        <v>0</v>
      </c>
      <c r="S33" s="122" t="str">
        <f>VLOOKUP(Risk_Evaluation[[#This Row],[Threat Catalogue]],_3_3_OVERVIEW_MITIGATING!$A$7:$B$66,2,FALSE)</f>
        <v/>
      </c>
      <c r="T33" s="177"/>
      <c r="U33" s="175"/>
      <c r="V33" s="175"/>
      <c r="W3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3" s="175"/>
      <c r="Y33" s="123" t="str" cm="1">
        <f t="array" ref="Y3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3" s="129">
        <f>IF(OR('SL-T'!$B$18="",Risk_Evaluation[[#This Row],[Actual Risk - 
G-6d]]=""),0,VLOOKUP(Risk_Evaluation[[#This Row],[Actual Risk - 
G-6d]],_DATA!$H$3:$I$7,2,FALSE)-VLOOKUP('SL-T'!$B$18,_DATA!$H$3:$I$7,2,FALSE))</f>
        <v>0</v>
      </c>
      <c r="AA33" s="124" t="str">
        <f>VLOOKUP(Risk_Evaluation[[#This Row],[Threat Catalogue]],_2_1_OVERVIEW!$A$7:$B$66,2,FALSE)</f>
        <v/>
      </c>
      <c r="AB33" s="181"/>
      <c r="AC33" s="182"/>
      <c r="AD33" s="175"/>
      <c r="AE33" s="175"/>
      <c r="AF3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3" s="175"/>
      <c r="AH33" s="125" t="str" cm="1">
        <f t="array" ref="AH3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3" s="132">
        <f>IF(OR('SL-T'!$B$18="",Risk_Evaluation[[#This Row],[Actual Risk - 
G-6f]]=""),0,VLOOKUP(Risk_Evaluation[[#This Row],[Actual Risk - 
G-6f]],_DATA!$H$3:$I$7,2,FALSE)-VLOOKUP('SL-T'!$B$18,_DATA!$H$3:$I$7,2,FALSE))</f>
        <v>0</v>
      </c>
      <c r="AJ33" s="187"/>
      <c r="AK33" s="188"/>
    </row>
    <row r="34" spans="1:37" s="10" customFormat="1" ht="28.8">
      <c r="A34" s="126" t="str">
        <f>Attacker_Threat_Zone[[#This Row],[Threat Name]]</f>
        <v>IND.1.3 Insufficient integration of OT into operational processes</v>
      </c>
      <c r="B34" s="119" t="str">
        <f>IF(ISBLANK(Attacker_Threat_Zone[[#This Row],[Relevance]]),"No",Attacker_Threat_Zone[[#This Row],[Relevance]])</f>
        <v>No</v>
      </c>
      <c r="C34" s="167"/>
      <c r="D34" s="167"/>
      <c r="E34" s="120" t="str">
        <f>VLOOKUP(Risk_Evaluation[[#This Row],[Threat Catalogue]],_3_3_OVERVIEW_PRE!$A$7:$B$66,2,FALSE)</f>
        <v/>
      </c>
      <c r="F34" s="171"/>
      <c r="G34" s="171"/>
      <c r="H34" s="127" t="str">
        <f>IF(ISBLANK(Attacker_Threat_Zone[[#This Row],[Exposure]]),"",Attacker_Threat_Zone[[#This Row],[Exposure]])</f>
        <v/>
      </c>
      <c r="I34" s="175"/>
      <c r="J34" s="127" t="str">
        <f>IF(ISBLANK(Attacker_Threat_Zone[[#This Row],[Vulnerability]]),"",Attacker_Threat_Zone[[#This Row],[Vulnerability]])</f>
        <v/>
      </c>
      <c r="K34" s="175"/>
      <c r="L34" s="128" t="str">
        <f>IF(Risk_Evaluation[[#This Row],[Exposure - G-6b]]&lt;&gt;"",MIN(Risk_Evaluation[[#This Row],[Exposure - G-6b]:[Exposure - 
G-6b
Override]]),"")</f>
        <v/>
      </c>
      <c r="M34" s="128" t="str">
        <f>IF(Risk_Evaluation[[#This Row],[Vulnerability - 
G-6b]]&lt;&gt;"",MIN(Risk_Evaluation[[#This Row],[Vulnerability - 
G-6b]:[Vulnerability - 
G-6b
Override]]),"")</f>
        <v/>
      </c>
      <c r="N34" s="128" t="str">
        <f>IF(COUNT(Risk_Evaluation[[#This Row],[Exp min]:[Vul min]])=2,Risk_Evaluation[[#This Row],[Exp min]]+Risk_Evaluation[[#This Row],[Vul min]]-1,"")</f>
        <v/>
      </c>
      <c r="O34" s="128" t="str">
        <f>Attacker_Threat_Zone[[#This Row],[Impact
Max]]</f>
        <v/>
      </c>
      <c r="P34" s="175"/>
      <c r="Q34" s="121" t="str" cm="1">
        <f t="array" ref="Q3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4" s="128">
        <f>IF(OR('SL-T'!$B$18="",Risk_Evaluation[[#This Row],[Actual Risk - 
G-6b]]=""),0,VLOOKUP(Risk_Evaluation[[#This Row],[Actual Risk - 
G-6b]],_DATA!$H$3:$I$7,2,FALSE)-VLOOKUP('SL-T'!$B$18,_DATA!$H$3:$I$7,2,FALSE))</f>
        <v>0</v>
      </c>
      <c r="S34" s="122" t="str">
        <f>VLOOKUP(Risk_Evaluation[[#This Row],[Threat Catalogue]],_3_3_OVERVIEW_MITIGATING!$A$7:$B$66,2,FALSE)</f>
        <v/>
      </c>
      <c r="T34" s="177"/>
      <c r="U34" s="175"/>
      <c r="V34" s="175"/>
      <c r="W34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4" s="175"/>
      <c r="Y34" s="123" t="str" cm="1">
        <f t="array" ref="Y3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4" s="129">
        <f>IF(OR('SL-T'!$B$18="",Risk_Evaluation[[#This Row],[Actual Risk - 
G-6d]]=""),0,VLOOKUP(Risk_Evaluation[[#This Row],[Actual Risk - 
G-6d]],_DATA!$H$3:$I$7,2,FALSE)-VLOOKUP('SL-T'!$B$18,_DATA!$H$3:$I$7,2,FALSE))</f>
        <v>0</v>
      </c>
      <c r="AA34" s="124" t="str">
        <f>VLOOKUP(Risk_Evaluation[[#This Row],[Threat Catalogue]],_2_1_OVERVIEW!$A$7:$B$66,2,FALSE)</f>
        <v/>
      </c>
      <c r="AB34" s="181"/>
      <c r="AC34" s="182"/>
      <c r="AD34" s="175"/>
      <c r="AE34" s="175"/>
      <c r="AF34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4" s="175"/>
      <c r="AH34" s="125" t="str" cm="1">
        <f t="array" ref="AH3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4" s="132">
        <f>IF(OR('SL-T'!$B$18="",Risk_Evaluation[[#This Row],[Actual Risk - 
G-6f]]=""),0,VLOOKUP(Risk_Evaluation[[#This Row],[Actual Risk - 
G-6f]],_DATA!$H$3:$I$7,2,FALSE)-VLOOKUP('SL-T'!$B$18,_DATA!$H$3:$I$7,2,FALSE))</f>
        <v>0</v>
      </c>
      <c r="AJ34" s="187"/>
      <c r="AK34" s="188"/>
    </row>
    <row r="35" spans="1:37" s="10" customFormat="1">
      <c r="A35" s="126" t="str">
        <f>Attacker_Threat_Zone[[#This Row],[Threat Name]]</f>
        <v>IND.1.4 Insufficient access protection</v>
      </c>
      <c r="B35" s="119" t="str">
        <f>IF(ISBLANK(Attacker_Threat_Zone[[#This Row],[Relevance]]),"No",Attacker_Threat_Zone[[#This Row],[Relevance]])</f>
        <v>No</v>
      </c>
      <c r="C35" s="167"/>
      <c r="D35" s="167"/>
      <c r="E35" s="120" t="str">
        <f>VLOOKUP(Risk_Evaluation[[#This Row],[Threat Catalogue]],_3_3_OVERVIEW_PRE!$A$7:$B$66,2,FALSE)</f>
        <v/>
      </c>
      <c r="F35" s="171"/>
      <c r="G35" s="171"/>
      <c r="H35" s="127" t="str">
        <f>IF(ISBLANK(Attacker_Threat_Zone[[#This Row],[Exposure]]),"",Attacker_Threat_Zone[[#This Row],[Exposure]])</f>
        <v/>
      </c>
      <c r="I35" s="175"/>
      <c r="J35" s="127" t="str">
        <f>IF(ISBLANK(Attacker_Threat_Zone[[#This Row],[Vulnerability]]),"",Attacker_Threat_Zone[[#This Row],[Vulnerability]])</f>
        <v/>
      </c>
      <c r="K35" s="175"/>
      <c r="L35" s="128" t="str">
        <f>IF(Risk_Evaluation[[#This Row],[Exposure - G-6b]]&lt;&gt;"",MIN(Risk_Evaluation[[#This Row],[Exposure - G-6b]:[Exposure - 
G-6b
Override]]),"")</f>
        <v/>
      </c>
      <c r="M35" s="128" t="str">
        <f>IF(Risk_Evaluation[[#This Row],[Vulnerability - 
G-6b]]&lt;&gt;"",MIN(Risk_Evaluation[[#This Row],[Vulnerability - 
G-6b]:[Vulnerability - 
G-6b
Override]]),"")</f>
        <v/>
      </c>
      <c r="N35" s="128" t="str">
        <f>IF(COUNT(Risk_Evaluation[[#This Row],[Exp min]:[Vul min]])=2,Risk_Evaluation[[#This Row],[Exp min]]+Risk_Evaluation[[#This Row],[Vul min]]-1,"")</f>
        <v/>
      </c>
      <c r="O35" s="128" t="str">
        <f>Attacker_Threat_Zone[[#This Row],[Impact
Max]]</f>
        <v/>
      </c>
      <c r="P35" s="175"/>
      <c r="Q35" s="121" t="str" cm="1">
        <f t="array" ref="Q3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5" s="128">
        <f>IF(OR('SL-T'!$B$18="",Risk_Evaluation[[#This Row],[Actual Risk - 
G-6b]]=""),0,VLOOKUP(Risk_Evaluation[[#This Row],[Actual Risk - 
G-6b]],_DATA!$H$3:$I$7,2,FALSE)-VLOOKUP('SL-T'!$B$18,_DATA!$H$3:$I$7,2,FALSE))</f>
        <v>0</v>
      </c>
      <c r="S35" s="122" t="str">
        <f>VLOOKUP(Risk_Evaluation[[#This Row],[Threat Catalogue]],_3_3_OVERVIEW_MITIGATING!$A$7:$B$66,2,FALSE)</f>
        <v/>
      </c>
      <c r="T35" s="177"/>
      <c r="U35" s="175"/>
      <c r="V35" s="175"/>
      <c r="W35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5" s="175"/>
      <c r="Y35" s="123" t="str" cm="1">
        <f t="array" ref="Y35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5" s="129">
        <f>IF(OR('SL-T'!$B$18="",Risk_Evaluation[[#This Row],[Actual Risk - 
G-6d]]=""),0,VLOOKUP(Risk_Evaluation[[#This Row],[Actual Risk - 
G-6d]],_DATA!$H$3:$I$7,2,FALSE)-VLOOKUP('SL-T'!$B$18,_DATA!$H$3:$I$7,2,FALSE))</f>
        <v>0</v>
      </c>
      <c r="AA35" s="124" t="str">
        <f>VLOOKUP(Risk_Evaluation[[#This Row],[Threat Catalogue]],_2_1_OVERVIEW!$A$7:$B$66,2,FALSE)</f>
        <v/>
      </c>
      <c r="AB35" s="181"/>
      <c r="AC35" s="182"/>
      <c r="AD35" s="175"/>
      <c r="AE35" s="175"/>
      <c r="AF35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5" s="175"/>
      <c r="AH35" s="125" t="str" cm="1">
        <f t="array" ref="AH35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5" s="132">
        <f>IF(OR('SL-T'!$B$18="",Risk_Evaluation[[#This Row],[Actual Risk - 
G-6f]]=""),0,VLOOKUP(Risk_Evaluation[[#This Row],[Actual Risk - 
G-6f]],_DATA!$H$3:$I$7,2,FALSE)-VLOOKUP('SL-T'!$B$18,_DATA!$H$3:$I$7,2,FALSE))</f>
        <v>0</v>
      </c>
      <c r="AJ35" s="187"/>
      <c r="AK35" s="188"/>
    </row>
    <row r="36" spans="1:37" s="10" customFormat="1" ht="28.8">
      <c r="A36" s="126" t="str">
        <f>Attacker_Threat_Zone[[#This Row],[Threat Name]]</f>
        <v>IND.1.5 Insecure project planning process/application development process</v>
      </c>
      <c r="B36" s="119" t="str">
        <f>IF(ISBLANK(Attacker_Threat_Zone[[#This Row],[Relevance]]),"No",Attacker_Threat_Zone[[#This Row],[Relevance]])</f>
        <v>No</v>
      </c>
      <c r="C36" s="167"/>
      <c r="D36" s="167"/>
      <c r="E36" s="120" t="str">
        <f>VLOOKUP(Risk_Evaluation[[#This Row],[Threat Catalogue]],_3_3_OVERVIEW_PRE!$A$7:$B$66,2,FALSE)</f>
        <v/>
      </c>
      <c r="F36" s="171"/>
      <c r="G36" s="171"/>
      <c r="H36" s="127" t="str">
        <f>IF(ISBLANK(Attacker_Threat_Zone[[#This Row],[Exposure]]),"",Attacker_Threat_Zone[[#This Row],[Exposure]])</f>
        <v/>
      </c>
      <c r="I36" s="175"/>
      <c r="J36" s="127" t="str">
        <f>IF(ISBLANK(Attacker_Threat_Zone[[#This Row],[Vulnerability]]),"",Attacker_Threat_Zone[[#This Row],[Vulnerability]])</f>
        <v/>
      </c>
      <c r="K36" s="175"/>
      <c r="L36" s="128" t="str">
        <f>IF(Risk_Evaluation[[#This Row],[Exposure - G-6b]]&lt;&gt;"",MIN(Risk_Evaluation[[#This Row],[Exposure - G-6b]:[Exposure - 
G-6b
Override]]),"")</f>
        <v/>
      </c>
      <c r="M36" s="128" t="str">
        <f>IF(Risk_Evaluation[[#This Row],[Vulnerability - 
G-6b]]&lt;&gt;"",MIN(Risk_Evaluation[[#This Row],[Vulnerability - 
G-6b]:[Vulnerability - 
G-6b
Override]]),"")</f>
        <v/>
      </c>
      <c r="N36" s="128" t="str">
        <f>IF(COUNT(Risk_Evaluation[[#This Row],[Exp min]:[Vul min]])=2,Risk_Evaluation[[#This Row],[Exp min]]+Risk_Evaluation[[#This Row],[Vul min]]-1,"")</f>
        <v/>
      </c>
      <c r="O36" s="128" t="str">
        <f>Attacker_Threat_Zone[[#This Row],[Impact
Max]]</f>
        <v/>
      </c>
      <c r="P36" s="175"/>
      <c r="Q36" s="121" t="str" cm="1">
        <f t="array" ref="Q3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6" s="128">
        <f>IF(OR('SL-T'!$B$18="",Risk_Evaluation[[#This Row],[Actual Risk - 
G-6b]]=""),0,VLOOKUP(Risk_Evaluation[[#This Row],[Actual Risk - 
G-6b]],_DATA!$H$3:$I$7,2,FALSE)-VLOOKUP('SL-T'!$B$18,_DATA!$H$3:$I$7,2,FALSE))</f>
        <v>0</v>
      </c>
      <c r="S36" s="122" t="str">
        <f>VLOOKUP(Risk_Evaluation[[#This Row],[Threat Catalogue]],_3_3_OVERVIEW_MITIGATING!$A$7:$B$66,2,FALSE)</f>
        <v/>
      </c>
      <c r="T36" s="177"/>
      <c r="U36" s="175"/>
      <c r="V36" s="175"/>
      <c r="W36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6" s="175"/>
      <c r="Y36" s="123" t="str" cm="1">
        <f t="array" ref="Y3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6" s="129">
        <f>IF(OR('SL-T'!$B$18="",Risk_Evaluation[[#This Row],[Actual Risk - 
G-6d]]=""),0,VLOOKUP(Risk_Evaluation[[#This Row],[Actual Risk - 
G-6d]],_DATA!$H$3:$I$7,2,FALSE)-VLOOKUP('SL-T'!$B$18,_DATA!$H$3:$I$7,2,FALSE))</f>
        <v>0</v>
      </c>
      <c r="AA36" s="124" t="str">
        <f>VLOOKUP(Risk_Evaluation[[#This Row],[Threat Catalogue]],_2_1_OVERVIEW!$A$7:$B$66,2,FALSE)</f>
        <v/>
      </c>
      <c r="AB36" s="181"/>
      <c r="AC36" s="182"/>
      <c r="AD36" s="175"/>
      <c r="AE36" s="175"/>
      <c r="AF36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6" s="175"/>
      <c r="AH36" s="125" t="str" cm="1">
        <f t="array" ref="AH3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6" s="132">
        <f>IF(OR('SL-T'!$B$18="",Risk_Evaluation[[#This Row],[Actual Risk - 
G-6f]]=""),0,VLOOKUP(Risk_Evaluation[[#This Row],[Actual Risk - 
G-6f]],_DATA!$H$3:$I$7,2,FALSE)-VLOOKUP('SL-T'!$B$18,_DATA!$H$3:$I$7,2,FALSE))</f>
        <v>0</v>
      </c>
      <c r="AJ36" s="187"/>
      <c r="AK36" s="188"/>
    </row>
    <row r="37" spans="1:37" s="10" customFormat="1" ht="28.8">
      <c r="A37" s="126" t="str">
        <f>Attacker_Threat_Zone[[#This Row],[Threat Name]]</f>
        <v>IND.1.6 Insecure administration concept and remote administration</v>
      </c>
      <c r="B37" s="119" t="str">
        <f>IF(ISBLANK(Attacker_Threat_Zone[[#This Row],[Relevance]]),"No",Attacker_Threat_Zone[[#This Row],[Relevance]])</f>
        <v>No</v>
      </c>
      <c r="C37" s="167"/>
      <c r="D37" s="167"/>
      <c r="E37" s="120" t="str">
        <f>VLOOKUP(Risk_Evaluation[[#This Row],[Threat Catalogue]],_3_3_OVERVIEW_PRE!$A$7:$B$66,2,FALSE)</f>
        <v/>
      </c>
      <c r="F37" s="171"/>
      <c r="G37" s="171"/>
      <c r="H37" s="127" t="str">
        <f>IF(ISBLANK(Attacker_Threat_Zone[[#This Row],[Exposure]]),"",Attacker_Threat_Zone[[#This Row],[Exposure]])</f>
        <v/>
      </c>
      <c r="I37" s="175"/>
      <c r="J37" s="127" t="str">
        <f>IF(ISBLANK(Attacker_Threat_Zone[[#This Row],[Vulnerability]]),"",Attacker_Threat_Zone[[#This Row],[Vulnerability]])</f>
        <v/>
      </c>
      <c r="K37" s="175"/>
      <c r="L37" s="128" t="str">
        <f>IF(Risk_Evaluation[[#This Row],[Exposure - G-6b]]&lt;&gt;"",MIN(Risk_Evaluation[[#This Row],[Exposure - G-6b]:[Exposure - 
G-6b
Override]]),"")</f>
        <v/>
      </c>
      <c r="M37" s="128" t="str">
        <f>IF(Risk_Evaluation[[#This Row],[Vulnerability - 
G-6b]]&lt;&gt;"",MIN(Risk_Evaluation[[#This Row],[Vulnerability - 
G-6b]:[Vulnerability - 
G-6b
Override]]),"")</f>
        <v/>
      </c>
      <c r="N37" s="128" t="str">
        <f>IF(COUNT(Risk_Evaluation[[#This Row],[Exp min]:[Vul min]])=2,Risk_Evaluation[[#This Row],[Exp min]]+Risk_Evaluation[[#This Row],[Vul min]]-1,"")</f>
        <v/>
      </c>
      <c r="O37" s="128" t="str">
        <f>Attacker_Threat_Zone[[#This Row],[Impact
Max]]</f>
        <v/>
      </c>
      <c r="P37" s="175"/>
      <c r="Q37" s="121" t="str" cm="1">
        <f t="array" ref="Q3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7" s="128">
        <f>IF(OR('SL-T'!$B$18="",Risk_Evaluation[[#This Row],[Actual Risk - 
G-6b]]=""),0,VLOOKUP(Risk_Evaluation[[#This Row],[Actual Risk - 
G-6b]],_DATA!$H$3:$I$7,2,FALSE)-VLOOKUP('SL-T'!$B$18,_DATA!$H$3:$I$7,2,FALSE))</f>
        <v>0</v>
      </c>
      <c r="S37" s="122" t="str">
        <f>VLOOKUP(Risk_Evaluation[[#This Row],[Threat Catalogue]],_3_3_OVERVIEW_MITIGATING!$A$7:$B$66,2,FALSE)</f>
        <v/>
      </c>
      <c r="T37" s="177"/>
      <c r="U37" s="175"/>
      <c r="V37" s="175"/>
      <c r="W37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7" s="175"/>
      <c r="Y37" s="123" t="str" cm="1">
        <f t="array" ref="Y3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7" s="129">
        <f>IF(OR('SL-T'!$B$18="",Risk_Evaluation[[#This Row],[Actual Risk - 
G-6d]]=""),0,VLOOKUP(Risk_Evaluation[[#This Row],[Actual Risk - 
G-6d]],_DATA!$H$3:$I$7,2,FALSE)-VLOOKUP('SL-T'!$B$18,_DATA!$H$3:$I$7,2,FALSE))</f>
        <v>0</v>
      </c>
      <c r="AA37" s="124" t="str">
        <f>VLOOKUP(Risk_Evaluation[[#This Row],[Threat Catalogue]],_2_1_OVERVIEW!$A$7:$B$66,2,FALSE)</f>
        <v/>
      </c>
      <c r="AB37" s="181"/>
      <c r="AC37" s="182"/>
      <c r="AD37" s="175"/>
      <c r="AE37" s="175"/>
      <c r="AF37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7" s="175"/>
      <c r="AH37" s="125" t="str" cm="1">
        <f t="array" ref="AH3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7" s="132">
        <f>IF(OR('SL-T'!$B$18="",Risk_Evaluation[[#This Row],[Actual Risk - 
G-6f]]=""),0,VLOOKUP(Risk_Evaluation[[#This Row],[Actual Risk - 
G-6f]],_DATA!$H$3:$I$7,2,FALSE)-VLOOKUP('SL-T'!$B$18,_DATA!$H$3:$I$7,2,FALSE))</f>
        <v>0</v>
      </c>
      <c r="AJ37" s="187"/>
      <c r="AK37" s="188"/>
    </row>
    <row r="38" spans="1:37" s="10" customFormat="1" ht="28.8">
      <c r="A38" s="126" t="str">
        <f>Attacker_Threat_Zone[[#This Row],[Threat Name]]</f>
        <v>IND.1.7 Insufficient monitoring and detection procedures</v>
      </c>
      <c r="B38" s="119" t="str">
        <f>IF(ISBLANK(Attacker_Threat_Zone[[#This Row],[Relevance]]),"No",Attacker_Threat_Zone[[#This Row],[Relevance]])</f>
        <v>No</v>
      </c>
      <c r="C38" s="167"/>
      <c r="D38" s="167"/>
      <c r="E38" s="120" t="str">
        <f>VLOOKUP(Risk_Evaluation[[#This Row],[Threat Catalogue]],_3_3_OVERVIEW_PRE!$A$7:$B$66,2,FALSE)</f>
        <v/>
      </c>
      <c r="F38" s="171"/>
      <c r="G38" s="171"/>
      <c r="H38" s="127" t="str">
        <f>IF(ISBLANK(Attacker_Threat_Zone[[#This Row],[Exposure]]),"",Attacker_Threat_Zone[[#This Row],[Exposure]])</f>
        <v/>
      </c>
      <c r="I38" s="175"/>
      <c r="J38" s="127" t="str">
        <f>IF(ISBLANK(Attacker_Threat_Zone[[#This Row],[Vulnerability]]),"",Attacker_Threat_Zone[[#This Row],[Vulnerability]])</f>
        <v/>
      </c>
      <c r="K38" s="175"/>
      <c r="L38" s="128" t="str">
        <f>IF(Risk_Evaluation[[#This Row],[Exposure - G-6b]]&lt;&gt;"",MIN(Risk_Evaluation[[#This Row],[Exposure - G-6b]:[Exposure - 
G-6b
Override]]),"")</f>
        <v/>
      </c>
      <c r="M38" s="128" t="str">
        <f>IF(Risk_Evaluation[[#This Row],[Vulnerability - 
G-6b]]&lt;&gt;"",MIN(Risk_Evaluation[[#This Row],[Vulnerability - 
G-6b]:[Vulnerability - 
G-6b
Override]]),"")</f>
        <v/>
      </c>
      <c r="N38" s="128" t="str">
        <f>IF(COUNT(Risk_Evaluation[[#This Row],[Exp min]:[Vul min]])=2,Risk_Evaluation[[#This Row],[Exp min]]+Risk_Evaluation[[#This Row],[Vul min]]-1,"")</f>
        <v/>
      </c>
      <c r="O38" s="128" t="str">
        <f>Attacker_Threat_Zone[[#This Row],[Impact
Max]]</f>
        <v/>
      </c>
      <c r="P38" s="175"/>
      <c r="Q38" s="121" t="str" cm="1">
        <f t="array" ref="Q3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8" s="128">
        <f>IF(OR('SL-T'!$B$18="",Risk_Evaluation[[#This Row],[Actual Risk - 
G-6b]]=""),0,VLOOKUP(Risk_Evaluation[[#This Row],[Actual Risk - 
G-6b]],_DATA!$H$3:$I$7,2,FALSE)-VLOOKUP('SL-T'!$B$18,_DATA!$H$3:$I$7,2,FALSE))</f>
        <v>0</v>
      </c>
      <c r="S38" s="122" t="str">
        <f>VLOOKUP(Risk_Evaluation[[#This Row],[Threat Catalogue]],_3_3_OVERVIEW_MITIGATING!$A$7:$B$66,2,FALSE)</f>
        <v/>
      </c>
      <c r="T38" s="177"/>
      <c r="U38" s="175"/>
      <c r="V38" s="175"/>
      <c r="W3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8" s="175"/>
      <c r="Y38" s="123" t="str" cm="1">
        <f t="array" ref="Y3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8" s="129">
        <f>IF(OR('SL-T'!$B$18="",Risk_Evaluation[[#This Row],[Actual Risk - 
G-6d]]=""),0,VLOOKUP(Risk_Evaluation[[#This Row],[Actual Risk - 
G-6d]],_DATA!$H$3:$I$7,2,FALSE)-VLOOKUP('SL-T'!$B$18,_DATA!$H$3:$I$7,2,FALSE))</f>
        <v>0</v>
      </c>
      <c r="AA38" s="124" t="str">
        <f>VLOOKUP(Risk_Evaluation[[#This Row],[Threat Catalogue]],_2_1_OVERVIEW!$A$7:$B$66,2,FALSE)</f>
        <v/>
      </c>
      <c r="AB38" s="181"/>
      <c r="AC38" s="182"/>
      <c r="AD38" s="175"/>
      <c r="AE38" s="175"/>
      <c r="AF3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8" s="175"/>
      <c r="AH38" s="125" t="str" cm="1">
        <f t="array" ref="AH3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8" s="132">
        <f>IF(OR('SL-T'!$B$18="",Risk_Evaluation[[#This Row],[Actual Risk - 
G-6f]]=""),0,VLOOKUP(Risk_Evaluation[[#This Row],[Actual Risk - 
G-6f]],_DATA!$H$3:$I$7,2,FALSE)-VLOOKUP('SL-T'!$B$18,_DATA!$H$3:$I$7,2,FALSE))</f>
        <v>0</v>
      </c>
      <c r="AJ38" s="187"/>
      <c r="AK38" s="188"/>
    </row>
    <row r="39" spans="1:37" s="10" customFormat="1">
      <c r="A39" s="126" t="str">
        <f>Attacker_Threat_Zone[[#This Row],[Threat Name]]</f>
        <v>IND.1.8 Insufficient test concept</v>
      </c>
      <c r="B39" s="119" t="str">
        <f>IF(ISBLANK(Attacker_Threat_Zone[[#This Row],[Relevance]]),"No",Attacker_Threat_Zone[[#This Row],[Relevance]])</f>
        <v>No</v>
      </c>
      <c r="C39" s="167"/>
      <c r="D39" s="167"/>
      <c r="E39" s="120" t="str">
        <f>VLOOKUP(Risk_Evaluation[[#This Row],[Threat Catalogue]],_3_3_OVERVIEW_PRE!$A$7:$B$66,2,FALSE)</f>
        <v/>
      </c>
      <c r="F39" s="171"/>
      <c r="G39" s="171"/>
      <c r="H39" s="127" t="str">
        <f>IF(ISBLANK(Attacker_Threat_Zone[[#This Row],[Exposure]]),"",Attacker_Threat_Zone[[#This Row],[Exposure]])</f>
        <v/>
      </c>
      <c r="I39" s="175"/>
      <c r="J39" s="127" t="str">
        <f>IF(ISBLANK(Attacker_Threat_Zone[[#This Row],[Vulnerability]]),"",Attacker_Threat_Zone[[#This Row],[Vulnerability]])</f>
        <v/>
      </c>
      <c r="K39" s="175"/>
      <c r="L39" s="128" t="str">
        <f>IF(Risk_Evaluation[[#This Row],[Exposure - G-6b]]&lt;&gt;"",MIN(Risk_Evaluation[[#This Row],[Exposure - G-6b]:[Exposure - 
G-6b
Override]]),"")</f>
        <v/>
      </c>
      <c r="M39" s="128" t="str">
        <f>IF(Risk_Evaluation[[#This Row],[Vulnerability - 
G-6b]]&lt;&gt;"",MIN(Risk_Evaluation[[#This Row],[Vulnerability - 
G-6b]:[Vulnerability - 
G-6b
Override]]),"")</f>
        <v/>
      </c>
      <c r="N39" s="128" t="str">
        <f>IF(COUNT(Risk_Evaluation[[#This Row],[Exp min]:[Vul min]])=2,Risk_Evaluation[[#This Row],[Exp min]]+Risk_Evaluation[[#This Row],[Vul min]]-1,"")</f>
        <v/>
      </c>
      <c r="O39" s="128" t="str">
        <f>Attacker_Threat_Zone[[#This Row],[Impact
Max]]</f>
        <v/>
      </c>
      <c r="P39" s="175"/>
      <c r="Q39" s="121" t="str" cm="1">
        <f t="array" ref="Q3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39" s="128">
        <f>IF(OR('SL-T'!$B$18="",Risk_Evaluation[[#This Row],[Actual Risk - 
G-6b]]=""),0,VLOOKUP(Risk_Evaluation[[#This Row],[Actual Risk - 
G-6b]],_DATA!$H$3:$I$7,2,FALSE)-VLOOKUP('SL-T'!$B$18,_DATA!$H$3:$I$7,2,FALSE))</f>
        <v>0</v>
      </c>
      <c r="S39" s="122" t="str">
        <f>VLOOKUP(Risk_Evaluation[[#This Row],[Threat Catalogue]],_3_3_OVERVIEW_MITIGATING!$A$7:$B$66,2,FALSE)</f>
        <v/>
      </c>
      <c r="T39" s="177"/>
      <c r="U39" s="175"/>
      <c r="V39" s="175"/>
      <c r="W3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39" s="175"/>
      <c r="Y39" s="123" t="str" cm="1">
        <f t="array" ref="Y3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39" s="129">
        <f>IF(OR('SL-T'!$B$18="",Risk_Evaluation[[#This Row],[Actual Risk - 
G-6d]]=""),0,VLOOKUP(Risk_Evaluation[[#This Row],[Actual Risk - 
G-6d]],_DATA!$H$3:$I$7,2,FALSE)-VLOOKUP('SL-T'!$B$18,_DATA!$H$3:$I$7,2,FALSE))</f>
        <v>0</v>
      </c>
      <c r="AA39" s="124" t="str">
        <f>VLOOKUP(Risk_Evaluation[[#This Row],[Threat Catalogue]],_2_1_OVERVIEW!$A$7:$B$66,2,FALSE)</f>
        <v/>
      </c>
      <c r="AB39" s="181"/>
      <c r="AC39" s="182"/>
      <c r="AD39" s="175"/>
      <c r="AE39" s="175"/>
      <c r="AF3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39" s="175"/>
      <c r="AH39" s="125" t="str" cm="1">
        <f t="array" ref="AH3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39" s="132">
        <f>IF(OR('SL-T'!$B$18="",Risk_Evaluation[[#This Row],[Actual Risk - 
G-6f]]=""),0,VLOOKUP(Risk_Evaluation[[#This Row],[Actual Risk - 
G-6f]],_DATA!$H$3:$I$7,2,FALSE)-VLOOKUP('SL-T'!$B$18,_DATA!$H$3:$I$7,2,FALSE))</f>
        <v>0</v>
      </c>
      <c r="AJ39" s="187"/>
      <c r="AK39" s="188"/>
    </row>
    <row r="40" spans="1:37" s="10" customFormat="1">
      <c r="A40" s="126" t="str">
        <f>Attacker_Threat_Zone[[#This Row],[Threat Name]]</f>
        <v>IND.1.9 Insufficient life cycle concepts</v>
      </c>
      <c r="B40" s="119" t="str">
        <f>IF(ISBLANK(Attacker_Threat_Zone[[#This Row],[Relevance]]),"No",Attacker_Threat_Zone[[#This Row],[Relevance]])</f>
        <v>No</v>
      </c>
      <c r="C40" s="167"/>
      <c r="D40" s="167"/>
      <c r="E40" s="120" t="str">
        <f>VLOOKUP(Risk_Evaluation[[#This Row],[Threat Catalogue]],_3_3_OVERVIEW_PRE!$A$7:$B$66,2,FALSE)</f>
        <v/>
      </c>
      <c r="F40" s="171"/>
      <c r="G40" s="171"/>
      <c r="H40" s="127" t="str">
        <f>IF(ISBLANK(Attacker_Threat_Zone[[#This Row],[Exposure]]),"",Attacker_Threat_Zone[[#This Row],[Exposure]])</f>
        <v/>
      </c>
      <c r="I40" s="175"/>
      <c r="J40" s="127" t="str">
        <f>IF(ISBLANK(Attacker_Threat_Zone[[#This Row],[Vulnerability]]),"",Attacker_Threat_Zone[[#This Row],[Vulnerability]])</f>
        <v/>
      </c>
      <c r="K40" s="175"/>
      <c r="L40" s="128" t="str">
        <f>IF(Risk_Evaluation[[#This Row],[Exposure - G-6b]]&lt;&gt;"",MIN(Risk_Evaluation[[#This Row],[Exposure - G-6b]:[Exposure - 
G-6b
Override]]),"")</f>
        <v/>
      </c>
      <c r="M40" s="128" t="str">
        <f>IF(Risk_Evaluation[[#This Row],[Vulnerability - 
G-6b]]&lt;&gt;"",MIN(Risk_Evaluation[[#This Row],[Vulnerability - 
G-6b]:[Vulnerability - 
G-6b
Override]]),"")</f>
        <v/>
      </c>
      <c r="N40" s="128" t="str">
        <f>IF(COUNT(Risk_Evaluation[[#This Row],[Exp min]:[Vul min]])=2,Risk_Evaluation[[#This Row],[Exp min]]+Risk_Evaluation[[#This Row],[Vul min]]-1,"")</f>
        <v/>
      </c>
      <c r="O40" s="128" t="str">
        <f>Attacker_Threat_Zone[[#This Row],[Impact
Max]]</f>
        <v/>
      </c>
      <c r="P40" s="175"/>
      <c r="Q40" s="121" t="str" cm="1">
        <f t="array" ref="Q4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0" s="128">
        <f>IF(OR('SL-T'!$B$18="",Risk_Evaluation[[#This Row],[Actual Risk - 
G-6b]]=""),0,VLOOKUP(Risk_Evaluation[[#This Row],[Actual Risk - 
G-6b]],_DATA!$H$3:$I$7,2,FALSE)-VLOOKUP('SL-T'!$B$18,_DATA!$H$3:$I$7,2,FALSE))</f>
        <v>0</v>
      </c>
      <c r="S40" s="122" t="str">
        <f>VLOOKUP(Risk_Evaluation[[#This Row],[Threat Catalogue]],_3_3_OVERVIEW_MITIGATING!$A$7:$B$66,2,FALSE)</f>
        <v/>
      </c>
      <c r="T40" s="177"/>
      <c r="U40" s="175"/>
      <c r="V40" s="175"/>
      <c r="W4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0" s="175"/>
      <c r="Y40" s="123" t="str" cm="1">
        <f t="array" ref="Y4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0" s="129">
        <f>IF(OR('SL-T'!$B$18="",Risk_Evaluation[[#This Row],[Actual Risk - 
G-6d]]=""),0,VLOOKUP(Risk_Evaluation[[#This Row],[Actual Risk - 
G-6d]],_DATA!$H$3:$I$7,2,FALSE)-VLOOKUP('SL-T'!$B$18,_DATA!$H$3:$I$7,2,FALSE))</f>
        <v>0</v>
      </c>
      <c r="AA40" s="124" t="str">
        <f>VLOOKUP(Risk_Evaluation[[#This Row],[Threat Catalogue]],_2_1_OVERVIEW!$A$7:$B$66,2,FALSE)</f>
        <v/>
      </c>
      <c r="AB40" s="181"/>
      <c r="AC40" s="182"/>
      <c r="AD40" s="175"/>
      <c r="AE40" s="175"/>
      <c r="AF4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0" s="175"/>
      <c r="AH40" s="125" t="str" cm="1">
        <f t="array" ref="AH4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0" s="132">
        <f>IF(OR('SL-T'!$B$18="",Risk_Evaluation[[#This Row],[Actual Risk - 
G-6f]]=""),0,VLOOKUP(Risk_Evaluation[[#This Row],[Actual Risk - 
G-6f]],_DATA!$H$3:$I$7,2,FALSE)-VLOOKUP('SL-T'!$B$18,_DATA!$H$3:$I$7,2,FALSE))</f>
        <v>0</v>
      </c>
      <c r="AJ40" s="187"/>
      <c r="AK40" s="188"/>
    </row>
    <row r="41" spans="1:37" s="10" customFormat="1" ht="28.8">
      <c r="A41" s="126" t="str">
        <f>Attacker_Threat_Zone[[#This Row],[Threat Name]]</f>
        <v>IND.1.10 Insufficient security requirements for procurement</v>
      </c>
      <c r="B41" s="119" t="str">
        <f>IF(ISBLANK(Attacker_Threat_Zone[[#This Row],[Relevance]]),"No",Attacker_Threat_Zone[[#This Row],[Relevance]])</f>
        <v>No</v>
      </c>
      <c r="C41" s="167"/>
      <c r="D41" s="167"/>
      <c r="E41" s="120" t="str">
        <f>VLOOKUP(Risk_Evaluation[[#This Row],[Threat Catalogue]],_3_3_OVERVIEW_PRE!$A$7:$B$66,2,FALSE)</f>
        <v/>
      </c>
      <c r="F41" s="171"/>
      <c r="G41" s="171"/>
      <c r="H41" s="127" t="str">
        <f>IF(ISBLANK(Attacker_Threat_Zone[[#This Row],[Exposure]]),"",Attacker_Threat_Zone[[#This Row],[Exposure]])</f>
        <v/>
      </c>
      <c r="I41" s="175"/>
      <c r="J41" s="127" t="str">
        <f>IF(ISBLANK(Attacker_Threat_Zone[[#This Row],[Vulnerability]]),"",Attacker_Threat_Zone[[#This Row],[Vulnerability]])</f>
        <v/>
      </c>
      <c r="K41" s="175"/>
      <c r="L41" s="128" t="str">
        <f>IF(Risk_Evaluation[[#This Row],[Exposure - G-6b]]&lt;&gt;"",MIN(Risk_Evaluation[[#This Row],[Exposure - G-6b]:[Exposure - 
G-6b
Override]]),"")</f>
        <v/>
      </c>
      <c r="M41" s="128" t="str">
        <f>IF(Risk_Evaluation[[#This Row],[Vulnerability - 
G-6b]]&lt;&gt;"",MIN(Risk_Evaluation[[#This Row],[Vulnerability - 
G-6b]:[Vulnerability - 
G-6b
Override]]),"")</f>
        <v/>
      </c>
      <c r="N41" s="128" t="str">
        <f>IF(COUNT(Risk_Evaluation[[#This Row],[Exp min]:[Vul min]])=2,Risk_Evaluation[[#This Row],[Exp min]]+Risk_Evaluation[[#This Row],[Vul min]]-1,"")</f>
        <v/>
      </c>
      <c r="O41" s="128" t="str">
        <f>Attacker_Threat_Zone[[#This Row],[Impact
Max]]</f>
        <v/>
      </c>
      <c r="P41" s="175"/>
      <c r="Q41" s="121" t="str" cm="1">
        <f t="array" ref="Q4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1" s="128">
        <f>IF(OR('SL-T'!$B$18="",Risk_Evaluation[[#This Row],[Actual Risk - 
G-6b]]=""),0,VLOOKUP(Risk_Evaluation[[#This Row],[Actual Risk - 
G-6b]],_DATA!$H$3:$I$7,2,FALSE)-VLOOKUP('SL-T'!$B$18,_DATA!$H$3:$I$7,2,FALSE))</f>
        <v>0</v>
      </c>
      <c r="S41" s="122" t="str">
        <f>VLOOKUP(Risk_Evaluation[[#This Row],[Threat Catalogue]],_3_3_OVERVIEW_MITIGATING!$A$7:$B$66,2,FALSE)</f>
        <v/>
      </c>
      <c r="T41" s="177"/>
      <c r="U41" s="175"/>
      <c r="V41" s="175"/>
      <c r="W4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1" s="175"/>
      <c r="Y41" s="123" t="str" cm="1">
        <f t="array" ref="Y4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1" s="129">
        <f>IF(OR('SL-T'!$B$18="",Risk_Evaluation[[#This Row],[Actual Risk - 
G-6d]]=""),0,VLOOKUP(Risk_Evaluation[[#This Row],[Actual Risk - 
G-6d]],_DATA!$H$3:$I$7,2,FALSE)-VLOOKUP('SL-T'!$B$18,_DATA!$H$3:$I$7,2,FALSE))</f>
        <v>0</v>
      </c>
      <c r="AA41" s="124" t="str">
        <f>VLOOKUP(Risk_Evaluation[[#This Row],[Threat Catalogue]],_2_1_OVERVIEW!$A$7:$B$66,2,FALSE)</f>
        <v/>
      </c>
      <c r="AB41" s="181"/>
      <c r="AC41" s="182"/>
      <c r="AD41" s="175"/>
      <c r="AE41" s="175"/>
      <c r="AF4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1" s="175"/>
      <c r="AH41" s="125" t="str" cm="1">
        <f t="array" ref="AH4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1" s="132">
        <f>IF(OR('SL-T'!$B$18="",Risk_Evaluation[[#This Row],[Actual Risk - 
G-6f]]=""),0,VLOOKUP(Risk_Evaluation[[#This Row],[Actual Risk - 
G-6f]],_DATA!$H$3:$I$7,2,FALSE)-VLOOKUP('SL-T'!$B$18,_DATA!$H$3:$I$7,2,FALSE))</f>
        <v>0</v>
      </c>
      <c r="AJ41" s="187"/>
      <c r="AK41" s="188"/>
    </row>
    <row r="42" spans="1:37" s="10" customFormat="1">
      <c r="A42" s="126" t="str">
        <f>Attacker_Threat_Zone[[#This Row],[Threat Name]]</f>
        <v>IND.1.11 Use of insecure protocols</v>
      </c>
      <c r="B42" s="119" t="str">
        <f>IF(ISBLANK(Attacker_Threat_Zone[[#This Row],[Relevance]]),"No",Attacker_Threat_Zone[[#This Row],[Relevance]])</f>
        <v>No</v>
      </c>
      <c r="C42" s="167"/>
      <c r="D42" s="167"/>
      <c r="E42" s="120" t="str">
        <f>VLOOKUP(Risk_Evaluation[[#This Row],[Threat Catalogue]],_3_3_OVERVIEW_PRE!$A$7:$B$66,2,FALSE)</f>
        <v/>
      </c>
      <c r="F42" s="171"/>
      <c r="G42" s="171"/>
      <c r="H42" s="127" t="str">
        <f>IF(ISBLANK(Attacker_Threat_Zone[[#This Row],[Exposure]]),"",Attacker_Threat_Zone[[#This Row],[Exposure]])</f>
        <v/>
      </c>
      <c r="I42" s="175"/>
      <c r="J42" s="127" t="str">
        <f>IF(ISBLANK(Attacker_Threat_Zone[[#This Row],[Vulnerability]]),"",Attacker_Threat_Zone[[#This Row],[Vulnerability]])</f>
        <v/>
      </c>
      <c r="K42" s="175"/>
      <c r="L42" s="128" t="str">
        <f>IF(Risk_Evaluation[[#This Row],[Exposure - G-6b]]&lt;&gt;"",MIN(Risk_Evaluation[[#This Row],[Exposure - G-6b]:[Exposure - 
G-6b
Override]]),"")</f>
        <v/>
      </c>
      <c r="M42" s="128" t="str">
        <f>IF(Risk_Evaluation[[#This Row],[Vulnerability - 
G-6b]]&lt;&gt;"",MIN(Risk_Evaluation[[#This Row],[Vulnerability - 
G-6b]:[Vulnerability - 
G-6b
Override]]),"")</f>
        <v/>
      </c>
      <c r="N42" s="128" t="str">
        <f>IF(COUNT(Risk_Evaluation[[#This Row],[Exp min]:[Vul min]])=2,Risk_Evaluation[[#This Row],[Exp min]]+Risk_Evaluation[[#This Row],[Vul min]]-1,"")</f>
        <v/>
      </c>
      <c r="O42" s="128" t="str">
        <f>Attacker_Threat_Zone[[#This Row],[Impact
Max]]</f>
        <v/>
      </c>
      <c r="P42" s="175"/>
      <c r="Q42" s="121" t="str" cm="1">
        <f t="array" ref="Q4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2" s="128">
        <f>IF(OR('SL-T'!$B$18="",Risk_Evaluation[[#This Row],[Actual Risk - 
G-6b]]=""),0,VLOOKUP(Risk_Evaluation[[#This Row],[Actual Risk - 
G-6b]],_DATA!$H$3:$I$7,2,FALSE)-VLOOKUP('SL-T'!$B$18,_DATA!$H$3:$I$7,2,FALSE))</f>
        <v>0</v>
      </c>
      <c r="S42" s="122" t="str">
        <f>VLOOKUP(Risk_Evaluation[[#This Row],[Threat Catalogue]],_3_3_OVERVIEW_MITIGATING!$A$7:$B$66,2,FALSE)</f>
        <v/>
      </c>
      <c r="T42" s="177"/>
      <c r="U42" s="175"/>
      <c r="V42" s="175"/>
      <c r="W4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2" s="175"/>
      <c r="Y42" s="123" t="str" cm="1">
        <f t="array" ref="Y4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2" s="129">
        <f>IF(OR('SL-T'!$B$18="",Risk_Evaluation[[#This Row],[Actual Risk - 
G-6d]]=""),0,VLOOKUP(Risk_Evaluation[[#This Row],[Actual Risk - 
G-6d]],_DATA!$H$3:$I$7,2,FALSE)-VLOOKUP('SL-T'!$B$18,_DATA!$H$3:$I$7,2,FALSE))</f>
        <v>0</v>
      </c>
      <c r="AA42" s="124" t="str">
        <f>VLOOKUP(Risk_Evaluation[[#This Row],[Threat Catalogue]],_2_1_OVERVIEW!$A$7:$B$66,2,FALSE)</f>
        <v/>
      </c>
      <c r="AB42" s="181"/>
      <c r="AC42" s="182"/>
      <c r="AD42" s="175"/>
      <c r="AE42" s="175"/>
      <c r="AF4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2" s="175"/>
      <c r="AH42" s="125" t="str" cm="1">
        <f t="array" ref="AH4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2" s="132">
        <f>IF(OR('SL-T'!$B$18="",Risk_Evaluation[[#This Row],[Actual Risk - 
G-6f]]=""),0,VLOOKUP(Risk_Evaluation[[#This Row],[Actual Risk - 
G-6f]],_DATA!$H$3:$I$7,2,FALSE)-VLOOKUP('SL-T'!$B$18,_DATA!$H$3:$I$7,2,FALSE))</f>
        <v>0</v>
      </c>
      <c r="AJ42" s="187"/>
      <c r="AK42" s="188"/>
    </row>
    <row r="43" spans="1:37" s="10" customFormat="1" ht="28.8">
      <c r="A43" s="126" t="str">
        <f>Attacker_Threat_Zone[[#This Row],[Threat Name]]</f>
        <v>IND.1.12 Insecure configurations of components</v>
      </c>
      <c r="B43" s="119" t="str">
        <f>IF(ISBLANK(Attacker_Threat_Zone[[#This Row],[Relevance]]),"No",Attacker_Threat_Zone[[#This Row],[Relevance]])</f>
        <v>No</v>
      </c>
      <c r="C43" s="167"/>
      <c r="D43" s="167"/>
      <c r="E43" s="120" t="str">
        <f>VLOOKUP(Risk_Evaluation[[#This Row],[Threat Catalogue]],_3_3_OVERVIEW_PRE!$A$7:$B$66,2,FALSE)</f>
        <v/>
      </c>
      <c r="F43" s="171"/>
      <c r="G43" s="171"/>
      <c r="H43" s="127" t="str">
        <f>IF(ISBLANK(Attacker_Threat_Zone[[#This Row],[Exposure]]),"",Attacker_Threat_Zone[[#This Row],[Exposure]])</f>
        <v/>
      </c>
      <c r="I43" s="175"/>
      <c r="J43" s="127" t="str">
        <f>IF(ISBLANK(Attacker_Threat_Zone[[#This Row],[Vulnerability]]),"",Attacker_Threat_Zone[[#This Row],[Vulnerability]])</f>
        <v/>
      </c>
      <c r="K43" s="175"/>
      <c r="L43" s="128" t="str">
        <f>IF(Risk_Evaluation[[#This Row],[Exposure - G-6b]]&lt;&gt;"",MIN(Risk_Evaluation[[#This Row],[Exposure - G-6b]:[Exposure - 
G-6b
Override]]),"")</f>
        <v/>
      </c>
      <c r="M43" s="128" t="str">
        <f>IF(Risk_Evaluation[[#This Row],[Vulnerability - 
G-6b]]&lt;&gt;"",MIN(Risk_Evaluation[[#This Row],[Vulnerability - 
G-6b]:[Vulnerability - 
G-6b
Override]]),"")</f>
        <v/>
      </c>
      <c r="N43" s="128" t="str">
        <f>IF(COUNT(Risk_Evaluation[[#This Row],[Exp min]:[Vul min]])=2,Risk_Evaluation[[#This Row],[Exp min]]+Risk_Evaluation[[#This Row],[Vul min]]-1,"")</f>
        <v/>
      </c>
      <c r="O43" s="128" t="str">
        <f>Attacker_Threat_Zone[[#This Row],[Impact
Max]]</f>
        <v/>
      </c>
      <c r="P43" s="175"/>
      <c r="Q43" s="121" t="str" cm="1">
        <f t="array" ref="Q4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3" s="128">
        <f>IF(OR('SL-T'!$B$18="",Risk_Evaluation[[#This Row],[Actual Risk - 
G-6b]]=""),0,VLOOKUP(Risk_Evaluation[[#This Row],[Actual Risk - 
G-6b]],_DATA!$H$3:$I$7,2,FALSE)-VLOOKUP('SL-T'!$B$18,_DATA!$H$3:$I$7,2,FALSE))</f>
        <v>0</v>
      </c>
      <c r="S43" s="122" t="str">
        <f>VLOOKUP(Risk_Evaluation[[#This Row],[Threat Catalogue]],_3_3_OVERVIEW_MITIGATING!$A$7:$B$66,2,FALSE)</f>
        <v/>
      </c>
      <c r="T43" s="177"/>
      <c r="U43" s="175"/>
      <c r="V43" s="175"/>
      <c r="W4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3" s="175"/>
      <c r="Y43" s="123" t="str" cm="1">
        <f t="array" ref="Y4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3" s="129">
        <f>IF(OR('SL-T'!$B$18="",Risk_Evaluation[[#This Row],[Actual Risk - 
G-6d]]=""),0,VLOOKUP(Risk_Evaluation[[#This Row],[Actual Risk - 
G-6d]],_DATA!$H$3:$I$7,2,FALSE)-VLOOKUP('SL-T'!$B$18,_DATA!$H$3:$I$7,2,FALSE))</f>
        <v>0</v>
      </c>
      <c r="AA43" s="124" t="str">
        <f>VLOOKUP(Risk_Evaluation[[#This Row],[Threat Catalogue]],_2_1_OVERVIEW!$A$7:$B$66,2,FALSE)</f>
        <v/>
      </c>
      <c r="AB43" s="181"/>
      <c r="AC43" s="182"/>
      <c r="AD43" s="175"/>
      <c r="AE43" s="175"/>
      <c r="AF4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3" s="175"/>
      <c r="AH43" s="125" t="str" cm="1">
        <f t="array" ref="AH4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3" s="132">
        <f>IF(OR('SL-T'!$B$18="",Risk_Evaluation[[#This Row],[Actual Risk - 
G-6f]]=""),0,VLOOKUP(Risk_Evaluation[[#This Row],[Actual Risk - 
G-6f]],_DATA!$H$3:$I$7,2,FALSE)-VLOOKUP('SL-T'!$B$18,_DATA!$H$3:$I$7,2,FALSE))</f>
        <v>0</v>
      </c>
      <c r="AJ43" s="187"/>
      <c r="AK43" s="188"/>
    </row>
    <row r="44" spans="1:37" s="10" customFormat="1">
      <c r="A44" s="126" t="str">
        <f>Attacker_Threat_Zone[[#This Row],[Threat Name]]</f>
        <v>IND.1.13 Dependencies of OT on IT networks</v>
      </c>
      <c r="B44" s="119" t="str">
        <f>IF(ISBLANK(Attacker_Threat_Zone[[#This Row],[Relevance]]),"No",Attacker_Threat_Zone[[#This Row],[Relevance]])</f>
        <v>No</v>
      </c>
      <c r="C44" s="167"/>
      <c r="D44" s="167"/>
      <c r="E44" s="120" t="str">
        <f>VLOOKUP(Risk_Evaluation[[#This Row],[Threat Catalogue]],_3_3_OVERVIEW_PRE!$A$7:$B$66,2,FALSE)</f>
        <v/>
      </c>
      <c r="F44" s="171"/>
      <c r="G44" s="171"/>
      <c r="H44" s="127" t="str">
        <f>IF(ISBLANK(Attacker_Threat_Zone[[#This Row],[Exposure]]),"",Attacker_Threat_Zone[[#This Row],[Exposure]])</f>
        <v/>
      </c>
      <c r="I44" s="175"/>
      <c r="J44" s="127" t="str">
        <f>IF(ISBLANK(Attacker_Threat_Zone[[#This Row],[Vulnerability]]),"",Attacker_Threat_Zone[[#This Row],[Vulnerability]])</f>
        <v/>
      </c>
      <c r="K44" s="175"/>
      <c r="L44" s="128" t="str">
        <f>IF(Risk_Evaluation[[#This Row],[Exposure - G-6b]]&lt;&gt;"",MIN(Risk_Evaluation[[#This Row],[Exposure - G-6b]:[Exposure - 
G-6b
Override]]),"")</f>
        <v/>
      </c>
      <c r="M44" s="128" t="str">
        <f>IF(Risk_Evaluation[[#This Row],[Vulnerability - 
G-6b]]&lt;&gt;"",MIN(Risk_Evaluation[[#This Row],[Vulnerability - 
G-6b]:[Vulnerability - 
G-6b
Override]]),"")</f>
        <v/>
      </c>
      <c r="N44" s="128" t="str">
        <f>IF(COUNT(Risk_Evaluation[[#This Row],[Exp min]:[Vul min]])=2,Risk_Evaluation[[#This Row],[Exp min]]+Risk_Evaluation[[#This Row],[Vul min]]-1,"")</f>
        <v/>
      </c>
      <c r="O44" s="128" t="str">
        <f>Attacker_Threat_Zone[[#This Row],[Impact
Max]]</f>
        <v/>
      </c>
      <c r="P44" s="175"/>
      <c r="Q44" s="121" t="str" cm="1">
        <f t="array" ref="Q4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4" s="128">
        <f>IF(OR('SL-T'!$B$18="",Risk_Evaluation[[#This Row],[Actual Risk - 
G-6b]]=""),0,VLOOKUP(Risk_Evaluation[[#This Row],[Actual Risk - 
G-6b]],_DATA!$H$3:$I$7,2,FALSE)-VLOOKUP('SL-T'!$B$18,_DATA!$H$3:$I$7,2,FALSE))</f>
        <v>0</v>
      </c>
      <c r="S44" s="122" t="str">
        <f>VLOOKUP(Risk_Evaluation[[#This Row],[Threat Catalogue]],_3_3_OVERVIEW_MITIGATING!$A$7:$B$66,2,FALSE)</f>
        <v/>
      </c>
      <c r="T44" s="177"/>
      <c r="U44" s="175"/>
      <c r="V44" s="175"/>
      <c r="W44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4" s="175"/>
      <c r="Y44" s="123" t="str" cm="1">
        <f t="array" ref="Y4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4" s="129">
        <f>IF(OR('SL-T'!$B$18="",Risk_Evaluation[[#This Row],[Actual Risk - 
G-6d]]=""),0,VLOOKUP(Risk_Evaluation[[#This Row],[Actual Risk - 
G-6d]],_DATA!$H$3:$I$7,2,FALSE)-VLOOKUP('SL-T'!$B$18,_DATA!$H$3:$I$7,2,FALSE))</f>
        <v>0</v>
      </c>
      <c r="AA44" s="124" t="str">
        <f>VLOOKUP(Risk_Evaluation[[#This Row],[Threat Catalogue]],_2_1_OVERVIEW!$A$7:$B$66,2,FALSE)</f>
        <v/>
      </c>
      <c r="AB44" s="181"/>
      <c r="AC44" s="182"/>
      <c r="AD44" s="175"/>
      <c r="AE44" s="175"/>
      <c r="AF44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4" s="175"/>
      <c r="AH44" s="125" t="str" cm="1">
        <f t="array" ref="AH4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4" s="132">
        <f>IF(OR('SL-T'!$B$18="",Risk_Evaluation[[#This Row],[Actual Risk - 
G-6f]]=""),0,VLOOKUP(Risk_Evaluation[[#This Row],[Actual Risk - 
G-6f]],_DATA!$H$3:$I$7,2,FALSE)-VLOOKUP('SL-T'!$B$18,_DATA!$H$3:$I$7,2,FALSE))</f>
        <v>0</v>
      </c>
      <c r="AJ44" s="187"/>
      <c r="AK44" s="188"/>
    </row>
    <row r="45" spans="1:37" s="10" customFormat="1" ht="28.8">
      <c r="A45" s="126" t="str">
        <f>Attacker_Threat_Zone[[#This Row],[Threat Name]]</f>
        <v>IND.2.1.2 Insufficient user and authorisation management</v>
      </c>
      <c r="B45" s="119" t="str">
        <f>IF(ISBLANK(Attacker_Threat_Zone[[#This Row],[Relevance]]),"No",Attacker_Threat_Zone[[#This Row],[Relevance]])</f>
        <v>No</v>
      </c>
      <c r="C45" s="167"/>
      <c r="D45" s="167"/>
      <c r="E45" s="120" t="str">
        <f>VLOOKUP(Risk_Evaluation[[#This Row],[Threat Catalogue]],_3_3_OVERVIEW_PRE!$A$7:$B$66,2,FALSE)</f>
        <v/>
      </c>
      <c r="F45" s="171"/>
      <c r="G45" s="171"/>
      <c r="H45" s="127" t="str">
        <f>IF(ISBLANK(Attacker_Threat_Zone[[#This Row],[Exposure]]),"",Attacker_Threat_Zone[[#This Row],[Exposure]])</f>
        <v/>
      </c>
      <c r="I45" s="175"/>
      <c r="J45" s="127" t="str">
        <f>IF(ISBLANK(Attacker_Threat_Zone[[#This Row],[Vulnerability]]),"",Attacker_Threat_Zone[[#This Row],[Vulnerability]])</f>
        <v/>
      </c>
      <c r="K45" s="175"/>
      <c r="L45" s="128" t="str">
        <f>IF(Risk_Evaluation[[#This Row],[Exposure - G-6b]]&lt;&gt;"",MIN(Risk_Evaluation[[#This Row],[Exposure - G-6b]:[Exposure - 
G-6b
Override]]),"")</f>
        <v/>
      </c>
      <c r="M45" s="128" t="str">
        <f>IF(Risk_Evaluation[[#This Row],[Vulnerability - 
G-6b]]&lt;&gt;"",MIN(Risk_Evaluation[[#This Row],[Vulnerability - 
G-6b]:[Vulnerability - 
G-6b
Override]]),"")</f>
        <v/>
      </c>
      <c r="N45" s="128" t="str">
        <f>IF(COUNT(Risk_Evaluation[[#This Row],[Exp min]:[Vul min]])=2,Risk_Evaluation[[#This Row],[Exp min]]+Risk_Evaluation[[#This Row],[Vul min]]-1,"")</f>
        <v/>
      </c>
      <c r="O45" s="128" t="str">
        <f>Attacker_Threat_Zone[[#This Row],[Impact
Max]]</f>
        <v/>
      </c>
      <c r="P45" s="175"/>
      <c r="Q45" s="121" t="str" cm="1">
        <f t="array" ref="Q4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5" s="128">
        <f>IF(OR('SL-T'!$B$18="",Risk_Evaluation[[#This Row],[Actual Risk - 
G-6b]]=""),0,VLOOKUP(Risk_Evaluation[[#This Row],[Actual Risk - 
G-6b]],_DATA!$H$3:$I$7,2,FALSE)-VLOOKUP('SL-T'!$B$18,_DATA!$H$3:$I$7,2,FALSE))</f>
        <v>0</v>
      </c>
      <c r="S45" s="122" t="str">
        <f>VLOOKUP(Risk_Evaluation[[#This Row],[Threat Catalogue]],_3_3_OVERVIEW_MITIGATING!$A$7:$B$66,2,FALSE)</f>
        <v/>
      </c>
      <c r="T45" s="177"/>
      <c r="U45" s="175"/>
      <c r="V45" s="175"/>
      <c r="W45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5" s="175"/>
      <c r="Y45" s="123" t="str" cm="1">
        <f t="array" ref="Y45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5" s="129">
        <f>IF(OR('SL-T'!$B$18="",Risk_Evaluation[[#This Row],[Actual Risk - 
G-6d]]=""),0,VLOOKUP(Risk_Evaluation[[#This Row],[Actual Risk - 
G-6d]],_DATA!$H$3:$I$7,2,FALSE)-VLOOKUP('SL-T'!$B$18,_DATA!$H$3:$I$7,2,FALSE))</f>
        <v>0</v>
      </c>
      <c r="AA45" s="124" t="str">
        <f>VLOOKUP(Risk_Evaluation[[#This Row],[Threat Catalogue]],_2_1_OVERVIEW!$A$7:$B$66,2,FALSE)</f>
        <v/>
      </c>
      <c r="AB45" s="181"/>
      <c r="AC45" s="182"/>
      <c r="AD45" s="175"/>
      <c r="AE45" s="175"/>
      <c r="AF45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5" s="175"/>
      <c r="AH45" s="125" t="str" cm="1">
        <f t="array" ref="AH45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5" s="132">
        <f>IF(OR('SL-T'!$B$18="",Risk_Evaluation[[#This Row],[Actual Risk - 
G-6f]]=""),0,VLOOKUP(Risk_Evaluation[[#This Row],[Actual Risk - 
G-6f]],_DATA!$H$3:$I$7,2,FALSE)-VLOOKUP('SL-T'!$B$18,_DATA!$H$3:$I$7,2,FALSE))</f>
        <v>0</v>
      </c>
      <c r="AJ45" s="187"/>
      <c r="AK45" s="188"/>
    </row>
    <row r="46" spans="1:37" s="10" customFormat="1">
      <c r="A46" s="126" t="str">
        <f>Attacker_Threat_Zone[[#This Row],[Threat Name]]</f>
        <v>IND.2.1.3 Insufficient logging</v>
      </c>
      <c r="B46" s="119" t="str">
        <f>IF(ISBLANK(Attacker_Threat_Zone[[#This Row],[Relevance]]),"No",Attacker_Threat_Zone[[#This Row],[Relevance]])</f>
        <v>No</v>
      </c>
      <c r="C46" s="167"/>
      <c r="D46" s="167"/>
      <c r="E46" s="120" t="str">
        <f>VLOOKUP(Risk_Evaluation[[#This Row],[Threat Catalogue]],_3_3_OVERVIEW_PRE!$A$7:$B$66,2,FALSE)</f>
        <v/>
      </c>
      <c r="F46" s="171"/>
      <c r="G46" s="171"/>
      <c r="H46" s="127" t="str">
        <f>IF(ISBLANK(Attacker_Threat_Zone[[#This Row],[Exposure]]),"",Attacker_Threat_Zone[[#This Row],[Exposure]])</f>
        <v/>
      </c>
      <c r="I46" s="175"/>
      <c r="J46" s="127" t="str">
        <f>IF(ISBLANK(Attacker_Threat_Zone[[#This Row],[Vulnerability]]),"",Attacker_Threat_Zone[[#This Row],[Vulnerability]])</f>
        <v/>
      </c>
      <c r="K46" s="175"/>
      <c r="L46" s="128" t="str">
        <f>IF(Risk_Evaluation[[#This Row],[Exposure - G-6b]]&lt;&gt;"",MIN(Risk_Evaluation[[#This Row],[Exposure - G-6b]:[Exposure - 
G-6b
Override]]),"")</f>
        <v/>
      </c>
      <c r="M46" s="128" t="str">
        <f>IF(Risk_Evaluation[[#This Row],[Vulnerability - 
G-6b]]&lt;&gt;"",MIN(Risk_Evaluation[[#This Row],[Vulnerability - 
G-6b]:[Vulnerability - 
G-6b
Override]]),"")</f>
        <v/>
      </c>
      <c r="N46" s="128" t="str">
        <f>IF(COUNT(Risk_Evaluation[[#This Row],[Exp min]:[Vul min]])=2,Risk_Evaluation[[#This Row],[Exp min]]+Risk_Evaluation[[#This Row],[Vul min]]-1,"")</f>
        <v/>
      </c>
      <c r="O46" s="128" t="str">
        <f>Attacker_Threat_Zone[[#This Row],[Impact
Max]]</f>
        <v/>
      </c>
      <c r="P46" s="175"/>
      <c r="Q46" s="121" t="str" cm="1">
        <f t="array" ref="Q4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6" s="128">
        <f>IF(OR('SL-T'!$B$18="",Risk_Evaluation[[#This Row],[Actual Risk - 
G-6b]]=""),0,VLOOKUP(Risk_Evaluation[[#This Row],[Actual Risk - 
G-6b]],_DATA!$H$3:$I$7,2,FALSE)-VLOOKUP('SL-T'!$B$18,_DATA!$H$3:$I$7,2,FALSE))</f>
        <v>0</v>
      </c>
      <c r="S46" s="122" t="str">
        <f>VLOOKUP(Risk_Evaluation[[#This Row],[Threat Catalogue]],_3_3_OVERVIEW_MITIGATING!$A$7:$B$66,2,FALSE)</f>
        <v/>
      </c>
      <c r="T46" s="177"/>
      <c r="U46" s="175"/>
      <c r="V46" s="175"/>
      <c r="W46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6" s="175"/>
      <c r="Y46" s="123" t="str" cm="1">
        <f t="array" ref="Y4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6" s="129">
        <f>IF(OR('SL-T'!$B$18="",Risk_Evaluation[[#This Row],[Actual Risk - 
G-6d]]=""),0,VLOOKUP(Risk_Evaluation[[#This Row],[Actual Risk - 
G-6d]],_DATA!$H$3:$I$7,2,FALSE)-VLOOKUP('SL-T'!$B$18,_DATA!$H$3:$I$7,2,FALSE))</f>
        <v>0</v>
      </c>
      <c r="AA46" s="124" t="str">
        <f>VLOOKUP(Risk_Evaluation[[#This Row],[Threat Catalogue]],_2_1_OVERVIEW!$A$7:$B$66,2,FALSE)</f>
        <v/>
      </c>
      <c r="AB46" s="181"/>
      <c r="AC46" s="182"/>
      <c r="AD46" s="175"/>
      <c r="AE46" s="175"/>
      <c r="AF46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6" s="175"/>
      <c r="AH46" s="125" t="str" cm="1">
        <f t="array" ref="AH4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6" s="132">
        <f>IF(OR('SL-T'!$B$18="",Risk_Evaluation[[#This Row],[Actual Risk - 
G-6f]]=""),0,VLOOKUP(Risk_Evaluation[[#This Row],[Actual Risk - 
G-6f]],_DATA!$H$3:$I$7,2,FALSE)-VLOOKUP('SL-T'!$B$18,_DATA!$H$3:$I$7,2,FALSE))</f>
        <v>0</v>
      </c>
      <c r="AJ46" s="187"/>
      <c r="AK46" s="188"/>
    </row>
    <row r="47" spans="1:37" s="10" customFormat="1">
      <c r="A47" s="126" t="str">
        <f>Attacker_Threat_Zone[[#This Row],[Threat Name]]</f>
        <v>IND.2.1.9 Manipulated firmware</v>
      </c>
      <c r="B47" s="119" t="str">
        <f>IF(ISBLANK(Attacker_Threat_Zone[[#This Row],[Relevance]]),"No",Attacker_Threat_Zone[[#This Row],[Relevance]])</f>
        <v>No</v>
      </c>
      <c r="C47" s="167"/>
      <c r="D47" s="167"/>
      <c r="E47" s="120" t="str">
        <f>VLOOKUP(Risk_Evaluation[[#This Row],[Threat Catalogue]],_3_3_OVERVIEW_PRE!$A$7:$B$66,2,FALSE)</f>
        <v/>
      </c>
      <c r="F47" s="171"/>
      <c r="G47" s="171"/>
      <c r="H47" s="127" t="str">
        <f>IF(ISBLANK(Attacker_Threat_Zone[[#This Row],[Exposure]]),"",Attacker_Threat_Zone[[#This Row],[Exposure]])</f>
        <v/>
      </c>
      <c r="I47" s="175"/>
      <c r="J47" s="127" t="str">
        <f>IF(ISBLANK(Attacker_Threat_Zone[[#This Row],[Vulnerability]]),"",Attacker_Threat_Zone[[#This Row],[Vulnerability]])</f>
        <v/>
      </c>
      <c r="K47" s="175"/>
      <c r="L47" s="128" t="str">
        <f>IF(Risk_Evaluation[[#This Row],[Exposure - G-6b]]&lt;&gt;"",MIN(Risk_Evaluation[[#This Row],[Exposure - G-6b]:[Exposure - 
G-6b
Override]]),"")</f>
        <v/>
      </c>
      <c r="M47" s="128" t="str">
        <f>IF(Risk_Evaluation[[#This Row],[Vulnerability - 
G-6b]]&lt;&gt;"",MIN(Risk_Evaluation[[#This Row],[Vulnerability - 
G-6b]:[Vulnerability - 
G-6b
Override]]),"")</f>
        <v/>
      </c>
      <c r="N47" s="128" t="str">
        <f>IF(COUNT(Risk_Evaluation[[#This Row],[Exp min]:[Vul min]])=2,Risk_Evaluation[[#This Row],[Exp min]]+Risk_Evaluation[[#This Row],[Vul min]]-1,"")</f>
        <v/>
      </c>
      <c r="O47" s="128" t="str">
        <f>Attacker_Threat_Zone[[#This Row],[Impact
Max]]</f>
        <v/>
      </c>
      <c r="P47" s="175"/>
      <c r="Q47" s="121" t="str" cm="1">
        <f t="array" ref="Q4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7" s="128">
        <f>IF(OR('SL-T'!$B$18="",Risk_Evaluation[[#This Row],[Actual Risk - 
G-6b]]=""),0,VLOOKUP(Risk_Evaluation[[#This Row],[Actual Risk - 
G-6b]],_DATA!$H$3:$I$7,2,FALSE)-VLOOKUP('SL-T'!$B$18,_DATA!$H$3:$I$7,2,FALSE))</f>
        <v>0</v>
      </c>
      <c r="S47" s="122" t="str">
        <f>VLOOKUP(Risk_Evaluation[[#This Row],[Threat Catalogue]],_3_3_OVERVIEW_MITIGATING!$A$7:$B$66,2,FALSE)</f>
        <v/>
      </c>
      <c r="T47" s="177"/>
      <c r="U47" s="175"/>
      <c r="V47" s="175"/>
      <c r="W47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7" s="175"/>
      <c r="Y47" s="123" t="str" cm="1">
        <f t="array" ref="Y4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7" s="129">
        <f>IF(OR('SL-T'!$B$18="",Risk_Evaluation[[#This Row],[Actual Risk - 
G-6d]]=""),0,VLOOKUP(Risk_Evaluation[[#This Row],[Actual Risk - 
G-6d]],_DATA!$H$3:$I$7,2,FALSE)-VLOOKUP('SL-T'!$B$18,_DATA!$H$3:$I$7,2,FALSE))</f>
        <v>0</v>
      </c>
      <c r="AA47" s="124" t="str">
        <f>VLOOKUP(Risk_Evaluation[[#This Row],[Threat Catalogue]],_2_1_OVERVIEW!$A$7:$B$66,2,FALSE)</f>
        <v/>
      </c>
      <c r="AB47" s="181"/>
      <c r="AC47" s="182"/>
      <c r="AD47" s="175"/>
      <c r="AE47" s="175"/>
      <c r="AF47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7" s="175"/>
      <c r="AH47" s="125" t="str" cm="1">
        <f t="array" ref="AH4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7" s="132">
        <f>IF(OR('SL-T'!$B$18="",Risk_Evaluation[[#This Row],[Actual Risk - 
G-6f]]=""),0,VLOOKUP(Risk_Evaluation[[#This Row],[Actual Risk - 
G-6f]],_DATA!$H$3:$I$7,2,FALSE)-VLOOKUP('SL-T'!$B$18,_DATA!$H$3:$I$7,2,FALSE))</f>
        <v>0</v>
      </c>
      <c r="AJ47" s="187"/>
      <c r="AK47" s="188"/>
    </row>
    <row r="48" spans="1:37" s="10" customFormat="1">
      <c r="A48" s="126" t="str">
        <f>Attacker_Threat_Zone[[#This Row],[Threat Name]]</f>
        <v>IND.2.2.1 Incomplete documentation</v>
      </c>
      <c r="B48" s="119" t="str">
        <f>IF(ISBLANK(Attacker_Threat_Zone[[#This Row],[Relevance]]),"No",Attacker_Threat_Zone[[#This Row],[Relevance]])</f>
        <v>No</v>
      </c>
      <c r="C48" s="167"/>
      <c r="D48" s="167"/>
      <c r="E48" s="120" t="str">
        <f>VLOOKUP(Risk_Evaluation[[#This Row],[Threat Catalogue]],_3_3_OVERVIEW_PRE!$A$7:$B$66,2,FALSE)</f>
        <v/>
      </c>
      <c r="F48" s="171"/>
      <c r="G48" s="171"/>
      <c r="H48" s="127" t="str">
        <f>IF(ISBLANK(Attacker_Threat_Zone[[#This Row],[Exposure]]),"",Attacker_Threat_Zone[[#This Row],[Exposure]])</f>
        <v/>
      </c>
      <c r="I48" s="175"/>
      <c r="J48" s="127" t="str">
        <f>IF(ISBLANK(Attacker_Threat_Zone[[#This Row],[Vulnerability]]),"",Attacker_Threat_Zone[[#This Row],[Vulnerability]])</f>
        <v/>
      </c>
      <c r="K48" s="175"/>
      <c r="L48" s="128" t="str">
        <f>IF(Risk_Evaluation[[#This Row],[Exposure - G-6b]]&lt;&gt;"",MIN(Risk_Evaluation[[#This Row],[Exposure - G-6b]:[Exposure - 
G-6b
Override]]),"")</f>
        <v/>
      </c>
      <c r="M48" s="128" t="str">
        <f>IF(Risk_Evaluation[[#This Row],[Vulnerability - 
G-6b]]&lt;&gt;"",MIN(Risk_Evaluation[[#This Row],[Vulnerability - 
G-6b]:[Vulnerability - 
G-6b
Override]]),"")</f>
        <v/>
      </c>
      <c r="N48" s="128" t="str">
        <f>IF(COUNT(Risk_Evaluation[[#This Row],[Exp min]:[Vul min]])=2,Risk_Evaluation[[#This Row],[Exp min]]+Risk_Evaluation[[#This Row],[Vul min]]-1,"")</f>
        <v/>
      </c>
      <c r="O48" s="128" t="str">
        <f>Attacker_Threat_Zone[[#This Row],[Impact
Max]]</f>
        <v/>
      </c>
      <c r="P48" s="175"/>
      <c r="Q48" s="121" t="str" cm="1">
        <f t="array" ref="Q4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8" s="128">
        <f>IF(OR('SL-T'!$B$18="",Risk_Evaluation[[#This Row],[Actual Risk - 
G-6b]]=""),0,VLOOKUP(Risk_Evaluation[[#This Row],[Actual Risk - 
G-6b]],_DATA!$H$3:$I$7,2,FALSE)-VLOOKUP('SL-T'!$B$18,_DATA!$H$3:$I$7,2,FALSE))</f>
        <v>0</v>
      </c>
      <c r="S48" s="122" t="str">
        <f>VLOOKUP(Risk_Evaluation[[#This Row],[Threat Catalogue]],_3_3_OVERVIEW_MITIGATING!$A$7:$B$66,2,FALSE)</f>
        <v/>
      </c>
      <c r="T48" s="177"/>
      <c r="U48" s="175"/>
      <c r="V48" s="175"/>
      <c r="W4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8" s="175"/>
      <c r="Y48" s="123" t="str" cm="1">
        <f t="array" ref="Y4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8" s="129">
        <f>IF(OR('SL-T'!$B$18="",Risk_Evaluation[[#This Row],[Actual Risk - 
G-6d]]=""),0,VLOOKUP(Risk_Evaluation[[#This Row],[Actual Risk - 
G-6d]],_DATA!$H$3:$I$7,2,FALSE)-VLOOKUP('SL-T'!$B$18,_DATA!$H$3:$I$7,2,FALSE))</f>
        <v>0</v>
      </c>
      <c r="AA48" s="124" t="str">
        <f>VLOOKUP(Risk_Evaluation[[#This Row],[Threat Catalogue]],_2_1_OVERVIEW!$A$7:$B$66,2,FALSE)</f>
        <v/>
      </c>
      <c r="AB48" s="181"/>
      <c r="AC48" s="182"/>
      <c r="AD48" s="175"/>
      <c r="AE48" s="175"/>
      <c r="AF4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8" s="175"/>
      <c r="AH48" s="125" t="str" cm="1">
        <f t="array" ref="AH4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8" s="132">
        <f>IF(OR('SL-T'!$B$18="",Risk_Evaluation[[#This Row],[Actual Risk - 
G-6f]]=""),0,VLOOKUP(Risk_Evaluation[[#This Row],[Actual Risk - 
G-6f]],_DATA!$H$3:$I$7,2,FALSE)-VLOOKUP('SL-T'!$B$18,_DATA!$H$3:$I$7,2,FALSE))</f>
        <v>0</v>
      </c>
      <c r="AJ48" s="187"/>
      <c r="AK48" s="188"/>
    </row>
    <row r="49" spans="1:37" s="10" customFormat="1" ht="28.8">
      <c r="A49" s="126" t="str">
        <f>Attacker_Threat_Zone[[#This Row],[Threat Name]]</f>
        <v>IND.3.2.1 Incompletely documented remote maintenance access in the OT</v>
      </c>
      <c r="B49" s="119" t="str">
        <f>IF(ISBLANK(Attacker_Threat_Zone[[#This Row],[Relevance]]),"No",Attacker_Threat_Zone[[#This Row],[Relevance]])</f>
        <v>No</v>
      </c>
      <c r="C49" s="167"/>
      <c r="D49" s="167"/>
      <c r="E49" s="120" t="str">
        <f>VLOOKUP(Risk_Evaluation[[#This Row],[Threat Catalogue]],_3_3_OVERVIEW_PRE!$A$7:$B$66,2,FALSE)</f>
        <v/>
      </c>
      <c r="F49" s="171"/>
      <c r="G49" s="171"/>
      <c r="H49" s="127" t="str">
        <f>IF(ISBLANK(Attacker_Threat_Zone[[#This Row],[Exposure]]),"",Attacker_Threat_Zone[[#This Row],[Exposure]])</f>
        <v/>
      </c>
      <c r="I49" s="175"/>
      <c r="J49" s="127" t="str">
        <f>IF(ISBLANK(Attacker_Threat_Zone[[#This Row],[Vulnerability]]),"",Attacker_Threat_Zone[[#This Row],[Vulnerability]])</f>
        <v/>
      </c>
      <c r="K49" s="175"/>
      <c r="L49" s="128" t="str">
        <f>IF(Risk_Evaluation[[#This Row],[Exposure - G-6b]]&lt;&gt;"",MIN(Risk_Evaluation[[#This Row],[Exposure - G-6b]:[Exposure - 
G-6b
Override]]),"")</f>
        <v/>
      </c>
      <c r="M49" s="128" t="str">
        <f>IF(Risk_Evaluation[[#This Row],[Vulnerability - 
G-6b]]&lt;&gt;"",MIN(Risk_Evaluation[[#This Row],[Vulnerability - 
G-6b]:[Vulnerability - 
G-6b
Override]]),"")</f>
        <v/>
      </c>
      <c r="N49" s="128" t="str">
        <f>IF(COUNT(Risk_Evaluation[[#This Row],[Exp min]:[Vul min]])=2,Risk_Evaluation[[#This Row],[Exp min]]+Risk_Evaluation[[#This Row],[Vul min]]-1,"")</f>
        <v/>
      </c>
      <c r="O49" s="128" t="str">
        <f>Attacker_Threat_Zone[[#This Row],[Impact
Max]]</f>
        <v/>
      </c>
      <c r="P49" s="175"/>
      <c r="Q49" s="121" t="str" cm="1">
        <f t="array" ref="Q4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49" s="128">
        <f>IF(OR('SL-T'!$B$18="",Risk_Evaluation[[#This Row],[Actual Risk - 
G-6b]]=""),0,VLOOKUP(Risk_Evaluation[[#This Row],[Actual Risk - 
G-6b]],_DATA!$H$3:$I$7,2,FALSE)-VLOOKUP('SL-T'!$B$18,_DATA!$H$3:$I$7,2,FALSE))</f>
        <v>0</v>
      </c>
      <c r="S49" s="122" t="str">
        <f>VLOOKUP(Risk_Evaluation[[#This Row],[Threat Catalogue]],_3_3_OVERVIEW_MITIGATING!$A$7:$B$66,2,FALSE)</f>
        <v/>
      </c>
      <c r="T49" s="177"/>
      <c r="U49" s="175"/>
      <c r="V49" s="175"/>
      <c r="W4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49" s="175"/>
      <c r="Y49" s="123" t="str" cm="1">
        <f t="array" ref="Y4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49" s="129">
        <f>IF(OR('SL-T'!$B$18="",Risk_Evaluation[[#This Row],[Actual Risk - 
G-6d]]=""),0,VLOOKUP(Risk_Evaluation[[#This Row],[Actual Risk - 
G-6d]],_DATA!$H$3:$I$7,2,FALSE)-VLOOKUP('SL-T'!$B$18,_DATA!$H$3:$I$7,2,FALSE))</f>
        <v>0</v>
      </c>
      <c r="AA49" s="124" t="str">
        <f>VLOOKUP(Risk_Evaluation[[#This Row],[Threat Catalogue]],_2_1_OVERVIEW!$A$7:$B$66,2,FALSE)</f>
        <v/>
      </c>
      <c r="AB49" s="181"/>
      <c r="AC49" s="182"/>
      <c r="AD49" s="175"/>
      <c r="AE49" s="175"/>
      <c r="AF4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49" s="175"/>
      <c r="AH49" s="125" t="str" cm="1">
        <f t="array" ref="AH4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49" s="132">
        <f>IF(OR('SL-T'!$B$18="",Risk_Evaluation[[#This Row],[Actual Risk - 
G-6f]]=""),0,VLOOKUP(Risk_Evaluation[[#This Row],[Actual Risk - 
G-6f]],_DATA!$H$3:$I$7,2,FALSE)-VLOOKUP('SL-T'!$B$18,_DATA!$H$3:$I$7,2,FALSE))</f>
        <v>0</v>
      </c>
      <c r="AJ49" s="187"/>
      <c r="AK49" s="188"/>
    </row>
    <row r="50" spans="1:37" s="10" customFormat="1" ht="28.8">
      <c r="A50" s="126" t="str">
        <f>Attacker_Threat_Zone[[#This Row],[Threat Name]]</f>
        <v>IND.3.2.2 Insufficient availability due to dependencies on office and building IT</v>
      </c>
      <c r="B50" s="119" t="str">
        <f>IF(ISBLANK(Attacker_Threat_Zone[[#This Row],[Relevance]]),"No",Attacker_Threat_Zone[[#This Row],[Relevance]])</f>
        <v>No</v>
      </c>
      <c r="C50" s="167"/>
      <c r="D50" s="167"/>
      <c r="E50" s="120" t="str">
        <f>VLOOKUP(Risk_Evaluation[[#This Row],[Threat Catalogue]],_3_3_OVERVIEW_PRE!$A$7:$B$66,2,FALSE)</f>
        <v/>
      </c>
      <c r="F50" s="171"/>
      <c r="G50" s="171"/>
      <c r="H50" s="127" t="str">
        <f>IF(ISBLANK(Attacker_Threat_Zone[[#This Row],[Exposure]]),"",Attacker_Threat_Zone[[#This Row],[Exposure]])</f>
        <v/>
      </c>
      <c r="I50" s="175"/>
      <c r="J50" s="127" t="str">
        <f>IF(ISBLANK(Attacker_Threat_Zone[[#This Row],[Vulnerability]]),"",Attacker_Threat_Zone[[#This Row],[Vulnerability]])</f>
        <v/>
      </c>
      <c r="K50" s="175"/>
      <c r="L50" s="128" t="str">
        <f>IF(Risk_Evaluation[[#This Row],[Exposure - G-6b]]&lt;&gt;"",MIN(Risk_Evaluation[[#This Row],[Exposure - G-6b]:[Exposure - 
G-6b
Override]]),"")</f>
        <v/>
      </c>
      <c r="M50" s="128" t="str">
        <f>IF(Risk_Evaluation[[#This Row],[Vulnerability - 
G-6b]]&lt;&gt;"",MIN(Risk_Evaluation[[#This Row],[Vulnerability - 
G-6b]:[Vulnerability - 
G-6b
Override]]),"")</f>
        <v/>
      </c>
      <c r="N50" s="128" t="str">
        <f>IF(COUNT(Risk_Evaluation[[#This Row],[Exp min]:[Vul min]])=2,Risk_Evaluation[[#This Row],[Exp min]]+Risk_Evaluation[[#This Row],[Vul min]]-1,"")</f>
        <v/>
      </c>
      <c r="O50" s="128" t="str">
        <f>Attacker_Threat_Zone[[#This Row],[Impact
Max]]</f>
        <v/>
      </c>
      <c r="P50" s="175"/>
      <c r="Q50" s="121" t="str" cm="1">
        <f t="array" ref="Q5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0" s="128">
        <f>IF(OR('SL-T'!$B$18="",Risk_Evaluation[[#This Row],[Actual Risk - 
G-6b]]=""),0,VLOOKUP(Risk_Evaluation[[#This Row],[Actual Risk - 
G-6b]],_DATA!$H$3:$I$7,2,FALSE)-VLOOKUP('SL-T'!$B$18,_DATA!$H$3:$I$7,2,FALSE))</f>
        <v>0</v>
      </c>
      <c r="S50" s="122" t="str">
        <f>VLOOKUP(Risk_Evaluation[[#This Row],[Threat Catalogue]],_3_3_OVERVIEW_MITIGATING!$A$7:$B$66,2,FALSE)</f>
        <v/>
      </c>
      <c r="T50" s="177"/>
      <c r="U50" s="175"/>
      <c r="V50" s="175"/>
      <c r="W5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0" s="175"/>
      <c r="Y50" s="123" t="str" cm="1">
        <f t="array" ref="Y5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0" s="129">
        <f>IF(OR('SL-T'!$B$18="",Risk_Evaluation[[#This Row],[Actual Risk - 
G-6d]]=""),0,VLOOKUP(Risk_Evaluation[[#This Row],[Actual Risk - 
G-6d]],_DATA!$H$3:$I$7,2,FALSE)-VLOOKUP('SL-T'!$B$18,_DATA!$H$3:$I$7,2,FALSE))</f>
        <v>0</v>
      </c>
      <c r="AA50" s="124" t="str">
        <f>VLOOKUP(Risk_Evaluation[[#This Row],[Threat Catalogue]],_2_1_OVERVIEW!$A$7:$B$66,2,FALSE)</f>
        <v/>
      </c>
      <c r="AB50" s="181"/>
      <c r="AC50" s="182"/>
      <c r="AD50" s="175"/>
      <c r="AE50" s="175"/>
      <c r="AF5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0" s="175"/>
      <c r="AH50" s="125" t="str" cm="1">
        <f t="array" ref="AH5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0" s="132">
        <f>IF(OR('SL-T'!$B$18="",Risk_Evaluation[[#This Row],[Actual Risk - 
G-6f]]=""),0,VLOOKUP(Risk_Evaluation[[#This Row],[Actual Risk - 
G-6f]],_DATA!$H$3:$I$7,2,FALSE)-VLOOKUP('SL-T'!$B$18,_DATA!$H$3:$I$7,2,FALSE))</f>
        <v>0</v>
      </c>
      <c r="AJ50" s="187"/>
      <c r="AK50" s="188"/>
    </row>
    <row r="51" spans="1:37" s="10" customFormat="1" ht="28.8">
      <c r="A51" s="126" t="str">
        <f>Attacker_Threat_Zone[[#This Row],[Threat Name]]</f>
        <v>IND.3.2.3 Insufficient regulations for the use of OT remote maintenance access</v>
      </c>
      <c r="B51" s="119" t="str">
        <f>IF(ISBLANK(Attacker_Threat_Zone[[#This Row],[Relevance]]),"No",Attacker_Threat_Zone[[#This Row],[Relevance]])</f>
        <v>No</v>
      </c>
      <c r="C51" s="168"/>
      <c r="D51" s="167"/>
      <c r="E51" s="120" t="str">
        <f>VLOOKUP(Risk_Evaluation[[#This Row],[Threat Catalogue]],_3_3_OVERVIEW_PRE!$A$7:$B$66,2,FALSE)</f>
        <v/>
      </c>
      <c r="F51" s="171"/>
      <c r="G51" s="171"/>
      <c r="H51" s="127" t="str">
        <f>IF(ISBLANK(Attacker_Threat_Zone[[#This Row],[Exposure]]),"",Attacker_Threat_Zone[[#This Row],[Exposure]])</f>
        <v/>
      </c>
      <c r="I51" s="175"/>
      <c r="J51" s="127" t="str">
        <f>IF(ISBLANK(Attacker_Threat_Zone[[#This Row],[Vulnerability]]),"",Attacker_Threat_Zone[[#This Row],[Vulnerability]])</f>
        <v/>
      </c>
      <c r="K51" s="175"/>
      <c r="L51" s="128" t="str">
        <f>IF(Risk_Evaluation[[#This Row],[Exposure - G-6b]]&lt;&gt;"",MIN(Risk_Evaluation[[#This Row],[Exposure - G-6b]:[Exposure - 
G-6b
Override]]),"")</f>
        <v/>
      </c>
      <c r="M51" s="128" t="str">
        <f>IF(Risk_Evaluation[[#This Row],[Vulnerability - 
G-6b]]&lt;&gt;"",MIN(Risk_Evaluation[[#This Row],[Vulnerability - 
G-6b]:[Vulnerability - 
G-6b
Override]]),"")</f>
        <v/>
      </c>
      <c r="N51" s="128" t="str">
        <f>IF(COUNT(Risk_Evaluation[[#This Row],[Exp min]:[Vul min]])=2,Risk_Evaluation[[#This Row],[Exp min]]+Risk_Evaluation[[#This Row],[Vul min]]-1,"")</f>
        <v/>
      </c>
      <c r="O51" s="128" t="str">
        <f>Attacker_Threat_Zone[[#This Row],[Impact
Max]]</f>
        <v/>
      </c>
      <c r="P51" s="175"/>
      <c r="Q51" s="121" t="str" cm="1">
        <f t="array" ref="Q5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1" s="128">
        <f>IF(OR('SL-T'!$B$18="",Risk_Evaluation[[#This Row],[Actual Risk - 
G-6b]]=""),0,VLOOKUP(Risk_Evaluation[[#This Row],[Actual Risk - 
G-6b]],_DATA!$H$3:$I$7,2,FALSE)-VLOOKUP('SL-T'!$B$18,_DATA!$H$3:$I$7,2,FALSE))</f>
        <v>0</v>
      </c>
      <c r="S51" s="122" t="str">
        <f>VLOOKUP(Risk_Evaluation[[#This Row],[Threat Catalogue]],_3_3_OVERVIEW_MITIGATING!$A$7:$B$66,2,FALSE)</f>
        <v/>
      </c>
      <c r="T51" s="177"/>
      <c r="U51" s="175"/>
      <c r="V51" s="175"/>
      <c r="W5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1" s="175"/>
      <c r="Y51" s="123" t="str" cm="1">
        <f t="array" ref="Y5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1" s="129">
        <f>IF(OR('SL-T'!$B$18="",Risk_Evaluation[[#This Row],[Actual Risk - 
G-6d]]=""),0,VLOOKUP(Risk_Evaluation[[#This Row],[Actual Risk - 
G-6d]],_DATA!$H$3:$I$7,2,FALSE)-VLOOKUP('SL-T'!$B$18,_DATA!$H$3:$I$7,2,FALSE))</f>
        <v>0</v>
      </c>
      <c r="AA51" s="124" t="str">
        <f>VLOOKUP(Risk_Evaluation[[#This Row],[Threat Catalogue]],_2_1_OVERVIEW!$A$7:$B$66,2,FALSE)</f>
        <v/>
      </c>
      <c r="AB51" s="181"/>
      <c r="AC51" s="182"/>
      <c r="AD51" s="175"/>
      <c r="AE51" s="175"/>
      <c r="AF5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1" s="175"/>
      <c r="AH51" s="125" t="str" cm="1">
        <f t="array" ref="AH5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1" s="132">
        <f>IF(OR('SL-T'!$B$18="",Risk_Evaluation[[#This Row],[Actual Risk - 
G-6f]]=""),0,VLOOKUP(Risk_Evaluation[[#This Row],[Actual Risk - 
G-6f]],_DATA!$H$3:$I$7,2,FALSE)-VLOOKUP('SL-T'!$B$18,_DATA!$H$3:$I$7,2,FALSE))</f>
        <v>0</v>
      </c>
      <c r="AJ51" s="187"/>
      <c r="AK51" s="188"/>
    </row>
    <row r="52" spans="1:37" s="10" customFormat="1" ht="28.8">
      <c r="A52" s="126" t="str">
        <f>Attacker_Threat_Zone[[#This Row],[Threat Name]]</f>
        <v>IND.3.2.4 Insufficient human oversight over OT remote maintenance sessions</v>
      </c>
      <c r="B52" s="119" t="str">
        <f>IF(ISBLANK(Attacker_Threat_Zone[[#This Row],[Relevance]]),"No",Attacker_Threat_Zone[[#This Row],[Relevance]])</f>
        <v>No</v>
      </c>
      <c r="C52" s="168"/>
      <c r="D52" s="167"/>
      <c r="E52" s="120" t="str">
        <f>VLOOKUP(Risk_Evaluation[[#This Row],[Threat Catalogue]],_3_3_OVERVIEW_PRE!$A$7:$B$66,2,FALSE)</f>
        <v/>
      </c>
      <c r="F52" s="171"/>
      <c r="G52" s="171"/>
      <c r="H52" s="127" t="str">
        <f>IF(ISBLANK(Attacker_Threat_Zone[[#This Row],[Exposure]]),"",Attacker_Threat_Zone[[#This Row],[Exposure]])</f>
        <v/>
      </c>
      <c r="I52" s="175"/>
      <c r="J52" s="127" t="str">
        <f>IF(ISBLANK(Attacker_Threat_Zone[[#This Row],[Vulnerability]]),"",Attacker_Threat_Zone[[#This Row],[Vulnerability]])</f>
        <v/>
      </c>
      <c r="K52" s="175"/>
      <c r="L52" s="128" t="str">
        <f>IF(Risk_Evaluation[[#This Row],[Exposure - G-6b]]&lt;&gt;"",MIN(Risk_Evaluation[[#This Row],[Exposure - G-6b]:[Exposure - 
G-6b
Override]]),"")</f>
        <v/>
      </c>
      <c r="M52" s="128" t="str">
        <f>IF(Risk_Evaluation[[#This Row],[Vulnerability - 
G-6b]]&lt;&gt;"",MIN(Risk_Evaluation[[#This Row],[Vulnerability - 
G-6b]:[Vulnerability - 
G-6b
Override]]),"")</f>
        <v/>
      </c>
      <c r="N52" s="128" t="str">
        <f>IF(COUNT(Risk_Evaluation[[#This Row],[Exp min]:[Vul min]])=2,Risk_Evaluation[[#This Row],[Exp min]]+Risk_Evaluation[[#This Row],[Vul min]]-1,"")</f>
        <v/>
      </c>
      <c r="O52" s="128" t="str">
        <f>Attacker_Threat_Zone[[#This Row],[Impact
Max]]</f>
        <v/>
      </c>
      <c r="P52" s="175"/>
      <c r="Q52" s="121" t="str" cm="1">
        <f t="array" ref="Q5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2" s="128">
        <f>IF(OR('SL-T'!$B$18="",Risk_Evaluation[[#This Row],[Actual Risk - 
G-6b]]=""),0,VLOOKUP(Risk_Evaluation[[#This Row],[Actual Risk - 
G-6b]],_DATA!$H$3:$I$7,2,FALSE)-VLOOKUP('SL-T'!$B$18,_DATA!$H$3:$I$7,2,FALSE))</f>
        <v>0</v>
      </c>
      <c r="S52" s="122" t="str">
        <f>VLOOKUP(Risk_Evaluation[[#This Row],[Threat Catalogue]],_3_3_OVERVIEW_MITIGATING!$A$7:$B$66,2,FALSE)</f>
        <v/>
      </c>
      <c r="T52" s="177"/>
      <c r="U52" s="175"/>
      <c r="V52" s="175"/>
      <c r="W5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2" s="175"/>
      <c r="Y52" s="123" t="str" cm="1">
        <f t="array" ref="Y5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2" s="129">
        <f>IF(OR('SL-T'!$B$18="",Risk_Evaluation[[#This Row],[Actual Risk - 
G-6d]]=""),0,VLOOKUP(Risk_Evaluation[[#This Row],[Actual Risk - 
G-6d]],_DATA!$H$3:$I$7,2,FALSE)-VLOOKUP('SL-T'!$B$18,_DATA!$H$3:$I$7,2,FALSE))</f>
        <v>0</v>
      </c>
      <c r="AA52" s="124" t="str">
        <f>VLOOKUP(Risk_Evaluation[[#This Row],[Threat Catalogue]],_2_1_OVERVIEW!$A$7:$B$66,2,FALSE)</f>
        <v/>
      </c>
      <c r="AB52" s="181"/>
      <c r="AC52" s="182"/>
      <c r="AD52" s="175"/>
      <c r="AE52" s="175"/>
      <c r="AF5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2" s="175"/>
      <c r="AH52" s="125" t="str" cm="1">
        <f t="array" ref="AH5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2" s="132">
        <f>IF(OR('SL-T'!$B$18="",Risk_Evaluation[[#This Row],[Actual Risk - 
G-6f]]=""),0,VLOOKUP(Risk_Evaluation[[#This Row],[Actual Risk - 
G-6f]],_DATA!$H$3:$I$7,2,FALSE)-VLOOKUP('SL-T'!$B$18,_DATA!$H$3:$I$7,2,FALSE))</f>
        <v>0</v>
      </c>
      <c r="AJ52" s="187"/>
      <c r="AK52" s="188"/>
    </row>
    <row r="53" spans="1:37" s="10" customFormat="1" ht="28.8">
      <c r="A53" s="126" t="str">
        <f>Attacker_Threat_Zone[[#This Row],[Threat Name]]</f>
        <v>IND.3.2.5 Direct IP-based access to systems from insecure zones</v>
      </c>
      <c r="B53" s="119" t="str">
        <f>IF(ISBLANK(Attacker_Threat_Zone[[#This Row],[Relevance]]),"No",Attacker_Threat_Zone[[#This Row],[Relevance]])</f>
        <v>No</v>
      </c>
      <c r="C53" s="168"/>
      <c r="D53" s="167"/>
      <c r="E53" s="120" t="str">
        <f>VLOOKUP(Risk_Evaluation[[#This Row],[Threat Catalogue]],_3_3_OVERVIEW_PRE!$A$7:$B$66,2,FALSE)</f>
        <v/>
      </c>
      <c r="F53" s="171"/>
      <c r="G53" s="171"/>
      <c r="H53" s="127" t="str">
        <f>IF(ISBLANK(Attacker_Threat_Zone[[#This Row],[Exposure]]),"",Attacker_Threat_Zone[[#This Row],[Exposure]])</f>
        <v/>
      </c>
      <c r="I53" s="175"/>
      <c r="J53" s="127" t="str">
        <f>IF(ISBLANK(Attacker_Threat_Zone[[#This Row],[Vulnerability]]),"",Attacker_Threat_Zone[[#This Row],[Vulnerability]])</f>
        <v/>
      </c>
      <c r="K53" s="175"/>
      <c r="L53" s="128" t="str">
        <f>IF(Risk_Evaluation[[#This Row],[Exposure - G-6b]]&lt;&gt;"",MIN(Risk_Evaluation[[#This Row],[Exposure - G-6b]:[Exposure - 
G-6b
Override]]),"")</f>
        <v/>
      </c>
      <c r="M53" s="128" t="str">
        <f>IF(Risk_Evaluation[[#This Row],[Vulnerability - 
G-6b]]&lt;&gt;"",MIN(Risk_Evaluation[[#This Row],[Vulnerability - 
G-6b]:[Vulnerability - 
G-6b
Override]]),"")</f>
        <v/>
      </c>
      <c r="N53" s="128" t="str">
        <f>IF(COUNT(Risk_Evaluation[[#This Row],[Exp min]:[Vul min]])=2,Risk_Evaluation[[#This Row],[Exp min]]+Risk_Evaluation[[#This Row],[Vul min]]-1,"")</f>
        <v/>
      </c>
      <c r="O53" s="128" t="str">
        <f>Attacker_Threat_Zone[[#This Row],[Impact
Max]]</f>
        <v/>
      </c>
      <c r="P53" s="175"/>
      <c r="Q53" s="121" t="str" cm="1">
        <f t="array" ref="Q5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3" s="128">
        <f>IF(OR('SL-T'!$B$18="",Risk_Evaluation[[#This Row],[Actual Risk - 
G-6b]]=""),0,VLOOKUP(Risk_Evaluation[[#This Row],[Actual Risk - 
G-6b]],_DATA!$H$3:$I$7,2,FALSE)-VLOOKUP('SL-T'!$B$18,_DATA!$H$3:$I$7,2,FALSE))</f>
        <v>0</v>
      </c>
      <c r="S53" s="122" t="str">
        <f>VLOOKUP(Risk_Evaluation[[#This Row],[Threat Catalogue]],_3_3_OVERVIEW_MITIGATING!$A$7:$B$66,2,FALSE)</f>
        <v/>
      </c>
      <c r="T53" s="177"/>
      <c r="U53" s="175"/>
      <c r="V53" s="175"/>
      <c r="W5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3" s="175"/>
      <c r="Y53" s="123" t="str" cm="1">
        <f t="array" ref="Y5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3" s="129">
        <f>IF(OR('SL-T'!$B$18="",Risk_Evaluation[[#This Row],[Actual Risk - 
G-6d]]=""),0,VLOOKUP(Risk_Evaluation[[#This Row],[Actual Risk - 
G-6d]],_DATA!$H$3:$I$7,2,FALSE)-VLOOKUP('SL-T'!$B$18,_DATA!$H$3:$I$7,2,FALSE))</f>
        <v>0</v>
      </c>
      <c r="AA53" s="124" t="str">
        <f>VLOOKUP(Risk_Evaluation[[#This Row],[Threat Catalogue]],_2_1_OVERVIEW!$A$7:$B$66,2,FALSE)</f>
        <v/>
      </c>
      <c r="AB53" s="181"/>
      <c r="AC53" s="182"/>
      <c r="AD53" s="175"/>
      <c r="AE53" s="175"/>
      <c r="AF5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3" s="175"/>
      <c r="AH53" s="125" t="str" cm="1">
        <f t="array" ref="AH5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3" s="132">
        <f>IF(OR('SL-T'!$B$18="",Risk_Evaluation[[#This Row],[Actual Risk - 
G-6f]]=""),0,VLOOKUP(Risk_Evaluation[[#This Row],[Actual Risk - 
G-6f]],_DATA!$H$3:$I$7,2,FALSE)-VLOOKUP('SL-T'!$B$18,_DATA!$H$3:$I$7,2,FALSE))</f>
        <v>0</v>
      </c>
      <c r="AJ53" s="187"/>
      <c r="AK53" s="188"/>
    </row>
    <row r="54" spans="1:37" s="10" customFormat="1" ht="28.8">
      <c r="A54" s="126" t="str">
        <f>Attacker_Threat_Zone[[#This Row],[Threat Name]]</f>
        <v>IND.3.2.6 Insecure alternative OT remote maintenance access in the event of faults</v>
      </c>
      <c r="B54" s="119" t="str">
        <f>IF(ISBLANK(Attacker_Threat_Zone[[#This Row],[Relevance]]),"No",Attacker_Threat_Zone[[#This Row],[Relevance]])</f>
        <v>No</v>
      </c>
      <c r="C54" s="168"/>
      <c r="D54" s="167"/>
      <c r="E54" s="120" t="str">
        <f>VLOOKUP(Risk_Evaluation[[#This Row],[Threat Catalogue]],_3_3_OVERVIEW_PRE!$A$7:$B$66,2,FALSE)</f>
        <v/>
      </c>
      <c r="F54" s="171"/>
      <c r="G54" s="171"/>
      <c r="H54" s="127" t="str">
        <f>IF(ISBLANK(Attacker_Threat_Zone[[#This Row],[Exposure]]),"",Attacker_Threat_Zone[[#This Row],[Exposure]])</f>
        <v/>
      </c>
      <c r="I54" s="175"/>
      <c r="J54" s="127" t="str">
        <f>IF(ISBLANK(Attacker_Threat_Zone[[#This Row],[Vulnerability]]),"",Attacker_Threat_Zone[[#This Row],[Vulnerability]])</f>
        <v/>
      </c>
      <c r="K54" s="175"/>
      <c r="L54" s="128" t="str">
        <f>IF(Risk_Evaluation[[#This Row],[Exposure - G-6b]]&lt;&gt;"",MIN(Risk_Evaluation[[#This Row],[Exposure - G-6b]:[Exposure - 
G-6b
Override]]),"")</f>
        <v/>
      </c>
      <c r="M54" s="128" t="str">
        <f>IF(Risk_Evaluation[[#This Row],[Vulnerability - 
G-6b]]&lt;&gt;"",MIN(Risk_Evaluation[[#This Row],[Vulnerability - 
G-6b]:[Vulnerability - 
G-6b
Override]]),"")</f>
        <v/>
      </c>
      <c r="N54" s="128" t="str">
        <f>IF(COUNT(Risk_Evaluation[[#This Row],[Exp min]:[Vul min]])=2,Risk_Evaluation[[#This Row],[Exp min]]+Risk_Evaluation[[#This Row],[Vul min]]-1,"")</f>
        <v/>
      </c>
      <c r="O54" s="128" t="str">
        <f>Attacker_Threat_Zone[[#This Row],[Impact
Max]]</f>
        <v/>
      </c>
      <c r="P54" s="175"/>
      <c r="Q54" s="121" t="str" cm="1">
        <f t="array" ref="Q5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4" s="128">
        <f>IF(OR('SL-T'!$B$18="",Risk_Evaluation[[#This Row],[Actual Risk - 
G-6b]]=""),0,VLOOKUP(Risk_Evaluation[[#This Row],[Actual Risk - 
G-6b]],_DATA!$H$3:$I$7,2,FALSE)-VLOOKUP('SL-T'!$B$18,_DATA!$H$3:$I$7,2,FALSE))</f>
        <v>0</v>
      </c>
      <c r="S54" s="122" t="str">
        <f>VLOOKUP(Risk_Evaluation[[#This Row],[Threat Catalogue]],_3_3_OVERVIEW_MITIGATING!$A$7:$B$66,2,FALSE)</f>
        <v/>
      </c>
      <c r="T54" s="177"/>
      <c r="U54" s="175"/>
      <c r="V54" s="175"/>
      <c r="W54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4" s="175"/>
      <c r="Y54" s="123" t="str" cm="1">
        <f t="array" ref="Y5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4" s="129">
        <f>IF(OR('SL-T'!$B$18="",Risk_Evaluation[[#This Row],[Actual Risk - 
G-6d]]=""),0,VLOOKUP(Risk_Evaluation[[#This Row],[Actual Risk - 
G-6d]],_DATA!$H$3:$I$7,2,FALSE)-VLOOKUP('SL-T'!$B$18,_DATA!$H$3:$I$7,2,FALSE))</f>
        <v>0</v>
      </c>
      <c r="AA54" s="124" t="str">
        <f>VLOOKUP(Risk_Evaluation[[#This Row],[Threat Catalogue]],_2_1_OVERVIEW!$A$7:$B$66,2,FALSE)</f>
        <v/>
      </c>
      <c r="AB54" s="181"/>
      <c r="AC54" s="182"/>
      <c r="AD54" s="175"/>
      <c r="AE54" s="175"/>
      <c r="AF54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4" s="175"/>
      <c r="AH54" s="125" t="str" cm="1">
        <f t="array" ref="AH5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4" s="132">
        <f>IF(OR('SL-T'!$B$18="",Risk_Evaluation[[#This Row],[Actual Risk - 
G-6f]]=""),0,VLOOKUP(Risk_Evaluation[[#This Row],[Actual Risk - 
G-6f]],_DATA!$H$3:$I$7,2,FALSE)-VLOOKUP('SL-T'!$B$18,_DATA!$H$3:$I$7,2,FALSE))</f>
        <v>0</v>
      </c>
      <c r="AJ54" s="187"/>
      <c r="AK54" s="188"/>
    </row>
    <row r="55" spans="1:37" s="10" customFormat="1" ht="28.8">
      <c r="A55" s="126" t="str">
        <f>Attacker_Threat_Zone[[#This Row],[Threat Name]]</f>
        <v>IND.3.2.7 Insecure design of OT remote maintenance accesses</v>
      </c>
      <c r="B55" s="119" t="str">
        <f>IF(ISBLANK(Attacker_Threat_Zone[[#This Row],[Relevance]]),"No",Attacker_Threat_Zone[[#This Row],[Relevance]])</f>
        <v>No</v>
      </c>
      <c r="C55" s="168"/>
      <c r="D55" s="167"/>
      <c r="E55" s="120" t="str">
        <f>VLOOKUP(Risk_Evaluation[[#This Row],[Threat Catalogue]],_3_3_OVERVIEW_PRE!$A$7:$B$66,2,FALSE)</f>
        <v/>
      </c>
      <c r="F55" s="171"/>
      <c r="G55" s="171"/>
      <c r="H55" s="127" t="str">
        <f>IF(ISBLANK(Attacker_Threat_Zone[[#This Row],[Exposure]]),"",Attacker_Threat_Zone[[#This Row],[Exposure]])</f>
        <v/>
      </c>
      <c r="I55" s="175"/>
      <c r="J55" s="127" t="str">
        <f>IF(ISBLANK(Attacker_Threat_Zone[[#This Row],[Vulnerability]]),"",Attacker_Threat_Zone[[#This Row],[Vulnerability]])</f>
        <v/>
      </c>
      <c r="K55" s="175"/>
      <c r="L55" s="128" t="str">
        <f>IF(Risk_Evaluation[[#This Row],[Exposure - G-6b]]&lt;&gt;"",MIN(Risk_Evaluation[[#This Row],[Exposure - G-6b]:[Exposure - 
G-6b
Override]]),"")</f>
        <v/>
      </c>
      <c r="M55" s="128" t="str">
        <f>IF(Risk_Evaluation[[#This Row],[Vulnerability - 
G-6b]]&lt;&gt;"",MIN(Risk_Evaluation[[#This Row],[Vulnerability - 
G-6b]:[Vulnerability - 
G-6b
Override]]),"")</f>
        <v/>
      </c>
      <c r="N55" s="128" t="str">
        <f>IF(COUNT(Risk_Evaluation[[#This Row],[Exp min]:[Vul min]])=2,Risk_Evaluation[[#This Row],[Exp min]]+Risk_Evaluation[[#This Row],[Vul min]]-1,"")</f>
        <v/>
      </c>
      <c r="O55" s="128" t="str">
        <f>Attacker_Threat_Zone[[#This Row],[Impact
Max]]</f>
        <v/>
      </c>
      <c r="P55" s="175"/>
      <c r="Q55" s="121" t="str" cm="1">
        <f t="array" ref="Q5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5" s="128">
        <f>IF(OR('SL-T'!$B$18="",Risk_Evaluation[[#This Row],[Actual Risk - 
G-6b]]=""),0,VLOOKUP(Risk_Evaluation[[#This Row],[Actual Risk - 
G-6b]],_DATA!$H$3:$I$7,2,FALSE)-VLOOKUP('SL-T'!$B$18,_DATA!$H$3:$I$7,2,FALSE))</f>
        <v>0</v>
      </c>
      <c r="S55" s="122" t="str">
        <f>VLOOKUP(Risk_Evaluation[[#This Row],[Threat Catalogue]],_3_3_OVERVIEW_MITIGATING!$A$7:$B$66,2,FALSE)</f>
        <v/>
      </c>
      <c r="T55" s="177"/>
      <c r="U55" s="175"/>
      <c r="V55" s="175"/>
      <c r="W55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5" s="175"/>
      <c r="Y55" s="123" t="str" cm="1">
        <f t="array" ref="Y55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5" s="129">
        <f>IF(OR('SL-T'!$B$18="",Risk_Evaluation[[#This Row],[Actual Risk - 
G-6d]]=""),0,VLOOKUP(Risk_Evaluation[[#This Row],[Actual Risk - 
G-6d]],_DATA!$H$3:$I$7,2,FALSE)-VLOOKUP('SL-T'!$B$18,_DATA!$H$3:$I$7,2,FALSE))</f>
        <v>0</v>
      </c>
      <c r="AA55" s="124" t="str">
        <f>VLOOKUP(Risk_Evaluation[[#This Row],[Threat Catalogue]],_2_1_OVERVIEW!$A$7:$B$66,2,FALSE)</f>
        <v/>
      </c>
      <c r="AB55" s="181"/>
      <c r="AC55" s="182"/>
      <c r="AD55" s="175"/>
      <c r="AE55" s="175"/>
      <c r="AF55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5" s="175"/>
      <c r="AH55" s="125" t="str" cm="1">
        <f t="array" ref="AH55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5" s="132">
        <f>IF(OR('SL-T'!$B$18="",Risk_Evaluation[[#This Row],[Actual Risk - 
G-6f]]=""),0,VLOOKUP(Risk_Evaluation[[#This Row],[Actual Risk - 
G-6f]],_DATA!$H$3:$I$7,2,FALSE)-VLOOKUP('SL-T'!$B$18,_DATA!$H$3:$I$7,2,FALSE))</f>
        <v>0</v>
      </c>
      <c r="AJ55" s="187"/>
      <c r="AK55" s="188"/>
    </row>
    <row r="56" spans="1:37" s="10" customFormat="1" ht="28.8">
      <c r="A56" s="126" t="str">
        <f>Attacker_Threat_Zone[[#This Row],[Threat Name]]</f>
        <v>IND.3.2.8 Outdated technical concepts for OT remote maintenance access</v>
      </c>
      <c r="B56" s="119" t="str">
        <f>IF(ISBLANK(Attacker_Threat_Zone[[#This Row],[Relevance]]),"No",Attacker_Threat_Zone[[#This Row],[Relevance]])</f>
        <v>No</v>
      </c>
      <c r="C56" s="168"/>
      <c r="D56" s="167"/>
      <c r="E56" s="120" t="str">
        <f>VLOOKUP(Risk_Evaluation[[#This Row],[Threat Catalogue]],_3_3_OVERVIEW_PRE!$A$7:$B$66,2,FALSE)</f>
        <v/>
      </c>
      <c r="F56" s="171"/>
      <c r="G56" s="171"/>
      <c r="H56" s="127" t="str">
        <f>IF(ISBLANK(Attacker_Threat_Zone[[#This Row],[Exposure]]),"",Attacker_Threat_Zone[[#This Row],[Exposure]])</f>
        <v/>
      </c>
      <c r="I56" s="175"/>
      <c r="J56" s="127" t="str">
        <f>IF(ISBLANK(Attacker_Threat_Zone[[#This Row],[Vulnerability]]),"",Attacker_Threat_Zone[[#This Row],[Vulnerability]])</f>
        <v/>
      </c>
      <c r="K56" s="175"/>
      <c r="L56" s="128" t="str">
        <f>IF(Risk_Evaluation[[#This Row],[Exposure - G-6b]]&lt;&gt;"",MIN(Risk_Evaluation[[#This Row],[Exposure - G-6b]:[Exposure - 
G-6b
Override]]),"")</f>
        <v/>
      </c>
      <c r="M56" s="128" t="str">
        <f>IF(Risk_Evaluation[[#This Row],[Vulnerability - 
G-6b]]&lt;&gt;"",MIN(Risk_Evaluation[[#This Row],[Vulnerability - 
G-6b]:[Vulnerability - 
G-6b
Override]]),"")</f>
        <v/>
      </c>
      <c r="N56" s="128" t="str">
        <f>IF(COUNT(Risk_Evaluation[[#This Row],[Exp min]:[Vul min]])=2,Risk_Evaluation[[#This Row],[Exp min]]+Risk_Evaluation[[#This Row],[Vul min]]-1,"")</f>
        <v/>
      </c>
      <c r="O56" s="128" t="str">
        <f>Attacker_Threat_Zone[[#This Row],[Impact
Max]]</f>
        <v/>
      </c>
      <c r="P56" s="175"/>
      <c r="Q56" s="121" t="str" cm="1">
        <f t="array" ref="Q5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6" s="128">
        <f>IF(OR('SL-T'!$B$18="",Risk_Evaluation[[#This Row],[Actual Risk - 
G-6b]]=""),0,VLOOKUP(Risk_Evaluation[[#This Row],[Actual Risk - 
G-6b]],_DATA!$H$3:$I$7,2,FALSE)-VLOOKUP('SL-T'!$B$18,_DATA!$H$3:$I$7,2,FALSE))</f>
        <v>0</v>
      </c>
      <c r="S56" s="122" t="str">
        <f>VLOOKUP(Risk_Evaluation[[#This Row],[Threat Catalogue]],_3_3_OVERVIEW_MITIGATING!$A$7:$B$66,2,FALSE)</f>
        <v/>
      </c>
      <c r="T56" s="177"/>
      <c r="U56" s="175"/>
      <c r="V56" s="175"/>
      <c r="W56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6" s="175"/>
      <c r="Y56" s="123" t="str" cm="1">
        <f t="array" ref="Y56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6" s="129">
        <f>IF(OR('SL-T'!$B$18="",Risk_Evaluation[[#This Row],[Actual Risk - 
G-6d]]=""),0,VLOOKUP(Risk_Evaluation[[#This Row],[Actual Risk - 
G-6d]],_DATA!$H$3:$I$7,2,FALSE)-VLOOKUP('SL-T'!$B$18,_DATA!$H$3:$I$7,2,FALSE))</f>
        <v>0</v>
      </c>
      <c r="AA56" s="124" t="str">
        <f>VLOOKUP(Risk_Evaluation[[#This Row],[Threat Catalogue]],_2_1_OVERVIEW!$A$7:$B$66,2,FALSE)</f>
        <v/>
      </c>
      <c r="AB56" s="181"/>
      <c r="AC56" s="182"/>
      <c r="AD56" s="175"/>
      <c r="AE56" s="175"/>
      <c r="AF56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6" s="175"/>
      <c r="AH56" s="125" t="str" cm="1">
        <f t="array" ref="AH56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6" s="132">
        <f>IF(OR('SL-T'!$B$18="",Risk_Evaluation[[#This Row],[Actual Risk - 
G-6f]]=""),0,VLOOKUP(Risk_Evaluation[[#This Row],[Actual Risk - 
G-6f]],_DATA!$H$3:$I$7,2,FALSE)-VLOOKUP('SL-T'!$B$18,_DATA!$H$3:$I$7,2,FALSE))</f>
        <v>0</v>
      </c>
      <c r="AJ56" s="187"/>
      <c r="AK56" s="188"/>
    </row>
    <row r="57" spans="1:37" s="10" customFormat="1" ht="28.8">
      <c r="A57" s="126" t="str">
        <f>Attacker_Threat_Zone[[#This Row],[Threat Name]]</f>
        <v>CON.1.1 Insufficient key management for encryption</v>
      </c>
      <c r="B57" s="119" t="str">
        <f>IF(ISBLANK(Attacker_Threat_Zone[[#This Row],[Relevance]]),"No",Attacker_Threat_Zone[[#This Row],[Relevance]])</f>
        <v>No</v>
      </c>
      <c r="C57" s="168"/>
      <c r="D57" s="167"/>
      <c r="E57" s="120" t="str">
        <f>VLOOKUP(Risk_Evaluation[[#This Row],[Threat Catalogue]],_3_3_OVERVIEW_PRE!$A$7:$B$66,2,FALSE)</f>
        <v/>
      </c>
      <c r="F57" s="171"/>
      <c r="G57" s="171"/>
      <c r="H57" s="127" t="str">
        <f>IF(ISBLANK(Attacker_Threat_Zone[[#This Row],[Exposure]]),"",Attacker_Threat_Zone[[#This Row],[Exposure]])</f>
        <v/>
      </c>
      <c r="I57" s="175"/>
      <c r="J57" s="127" t="str">
        <f>IF(ISBLANK(Attacker_Threat_Zone[[#This Row],[Vulnerability]]),"",Attacker_Threat_Zone[[#This Row],[Vulnerability]])</f>
        <v/>
      </c>
      <c r="K57" s="175"/>
      <c r="L57" s="128" t="str">
        <f>IF(Risk_Evaluation[[#This Row],[Exposure - G-6b]]&lt;&gt;"",MIN(Risk_Evaluation[[#This Row],[Exposure - G-6b]:[Exposure - 
G-6b
Override]]),"")</f>
        <v/>
      </c>
      <c r="M57" s="128" t="str">
        <f>IF(Risk_Evaluation[[#This Row],[Vulnerability - 
G-6b]]&lt;&gt;"",MIN(Risk_Evaluation[[#This Row],[Vulnerability - 
G-6b]:[Vulnerability - 
G-6b
Override]]),"")</f>
        <v/>
      </c>
      <c r="N57" s="128" t="str">
        <f>IF(COUNT(Risk_Evaluation[[#This Row],[Exp min]:[Vul min]])=2,Risk_Evaluation[[#This Row],[Exp min]]+Risk_Evaluation[[#This Row],[Vul min]]-1,"")</f>
        <v/>
      </c>
      <c r="O57" s="128" t="str">
        <f>Attacker_Threat_Zone[[#This Row],[Impact
Max]]</f>
        <v/>
      </c>
      <c r="P57" s="175"/>
      <c r="Q57" s="121" t="str" cm="1">
        <f t="array" ref="Q5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7" s="128">
        <f>IF(OR('SL-T'!$B$18="",Risk_Evaluation[[#This Row],[Actual Risk - 
G-6b]]=""),0,VLOOKUP(Risk_Evaluation[[#This Row],[Actual Risk - 
G-6b]],_DATA!$H$3:$I$7,2,FALSE)-VLOOKUP('SL-T'!$B$18,_DATA!$H$3:$I$7,2,FALSE))</f>
        <v>0</v>
      </c>
      <c r="S57" s="122" t="str">
        <f>VLOOKUP(Risk_Evaluation[[#This Row],[Threat Catalogue]],_3_3_OVERVIEW_MITIGATING!$A$7:$B$66,2,FALSE)</f>
        <v/>
      </c>
      <c r="T57" s="177"/>
      <c r="U57" s="175"/>
      <c r="V57" s="175"/>
      <c r="W57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7" s="175"/>
      <c r="Y57" s="123" t="str" cm="1">
        <f t="array" ref="Y57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7" s="129">
        <f>IF(OR('SL-T'!$B$18="",Risk_Evaluation[[#This Row],[Actual Risk - 
G-6d]]=""),0,VLOOKUP(Risk_Evaluation[[#This Row],[Actual Risk - 
G-6d]],_DATA!$H$3:$I$7,2,FALSE)-VLOOKUP('SL-T'!$B$18,_DATA!$H$3:$I$7,2,FALSE))</f>
        <v>0</v>
      </c>
      <c r="AA57" s="124" t="str">
        <f>VLOOKUP(Risk_Evaluation[[#This Row],[Threat Catalogue]],_2_1_OVERVIEW!$A$7:$B$66,2,FALSE)</f>
        <v/>
      </c>
      <c r="AB57" s="181"/>
      <c r="AC57" s="182"/>
      <c r="AD57" s="175"/>
      <c r="AE57" s="175"/>
      <c r="AF57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7" s="175"/>
      <c r="AH57" s="125" t="str" cm="1">
        <f t="array" ref="AH57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7" s="132">
        <f>IF(OR('SL-T'!$B$18="",Risk_Evaluation[[#This Row],[Actual Risk - 
G-6f]]=""),0,VLOOKUP(Risk_Evaluation[[#This Row],[Actual Risk - 
G-6f]],_DATA!$H$3:$I$7,2,FALSE)-VLOOKUP('SL-T'!$B$18,_DATA!$H$3:$I$7,2,FALSE))</f>
        <v>0</v>
      </c>
      <c r="AJ57" s="187"/>
      <c r="AK57" s="188"/>
    </row>
    <row r="58" spans="1:37" s="10" customFormat="1">
      <c r="A58" s="126" t="str">
        <f>Attacker_Threat_Zone[[#This Row],[Threat Name]]</f>
        <v>CON.1.8 Compromise of cryptographic keys</v>
      </c>
      <c r="B58" s="119" t="str">
        <f>IF(ISBLANK(Attacker_Threat_Zone[[#This Row],[Relevance]]),"No",Attacker_Threat_Zone[[#This Row],[Relevance]])</f>
        <v>No</v>
      </c>
      <c r="C58" s="168"/>
      <c r="D58" s="167"/>
      <c r="E58" s="120" t="str">
        <f>VLOOKUP(Risk_Evaluation[[#This Row],[Threat Catalogue]],_3_3_OVERVIEW_PRE!$A$7:$B$66,2,FALSE)</f>
        <v/>
      </c>
      <c r="F58" s="171"/>
      <c r="G58" s="171"/>
      <c r="H58" s="127" t="str">
        <f>IF(ISBLANK(Attacker_Threat_Zone[[#This Row],[Exposure]]),"",Attacker_Threat_Zone[[#This Row],[Exposure]])</f>
        <v/>
      </c>
      <c r="I58" s="175"/>
      <c r="J58" s="127" t="str">
        <f>IF(ISBLANK(Attacker_Threat_Zone[[#This Row],[Vulnerability]]),"",Attacker_Threat_Zone[[#This Row],[Vulnerability]])</f>
        <v/>
      </c>
      <c r="K58" s="175"/>
      <c r="L58" s="128" t="str">
        <f>IF(Risk_Evaluation[[#This Row],[Exposure - G-6b]]&lt;&gt;"",MIN(Risk_Evaluation[[#This Row],[Exposure - G-6b]:[Exposure - 
G-6b
Override]]),"")</f>
        <v/>
      </c>
      <c r="M58" s="128" t="str">
        <f>IF(Risk_Evaluation[[#This Row],[Vulnerability - 
G-6b]]&lt;&gt;"",MIN(Risk_Evaluation[[#This Row],[Vulnerability - 
G-6b]:[Vulnerability - 
G-6b
Override]]),"")</f>
        <v/>
      </c>
      <c r="N58" s="128" t="str">
        <f>IF(COUNT(Risk_Evaluation[[#This Row],[Exp min]:[Vul min]])=2,Risk_Evaluation[[#This Row],[Exp min]]+Risk_Evaluation[[#This Row],[Vul min]]-1,"")</f>
        <v/>
      </c>
      <c r="O58" s="128" t="str">
        <f>Attacker_Threat_Zone[[#This Row],[Impact
Max]]</f>
        <v/>
      </c>
      <c r="P58" s="175"/>
      <c r="Q58" s="121" t="str" cm="1">
        <f t="array" ref="Q5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8" s="128">
        <f>IF(OR('SL-T'!$B$18="",Risk_Evaluation[[#This Row],[Actual Risk - 
G-6b]]=""),0,VLOOKUP(Risk_Evaluation[[#This Row],[Actual Risk - 
G-6b]],_DATA!$H$3:$I$7,2,FALSE)-VLOOKUP('SL-T'!$B$18,_DATA!$H$3:$I$7,2,FALSE))</f>
        <v>0</v>
      </c>
      <c r="S58" s="122" t="str">
        <f>VLOOKUP(Risk_Evaluation[[#This Row],[Threat Catalogue]],_3_3_OVERVIEW_MITIGATING!$A$7:$B$66,2,FALSE)</f>
        <v/>
      </c>
      <c r="T58" s="177"/>
      <c r="U58" s="175"/>
      <c r="V58" s="175"/>
      <c r="W58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8" s="175"/>
      <c r="Y58" s="123" t="str" cm="1">
        <f t="array" ref="Y58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8" s="129">
        <f>IF(OR('SL-T'!$B$18="",Risk_Evaluation[[#This Row],[Actual Risk - 
G-6d]]=""),0,VLOOKUP(Risk_Evaluation[[#This Row],[Actual Risk - 
G-6d]],_DATA!$H$3:$I$7,2,FALSE)-VLOOKUP('SL-T'!$B$18,_DATA!$H$3:$I$7,2,FALSE))</f>
        <v>0</v>
      </c>
      <c r="AA58" s="124" t="str">
        <f>VLOOKUP(Risk_Evaluation[[#This Row],[Threat Catalogue]],_2_1_OVERVIEW!$A$7:$B$66,2,FALSE)</f>
        <v/>
      </c>
      <c r="AB58" s="181"/>
      <c r="AC58" s="182"/>
      <c r="AD58" s="175"/>
      <c r="AE58" s="175"/>
      <c r="AF58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8" s="175"/>
      <c r="AH58" s="125" t="str" cm="1">
        <f t="array" ref="AH58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8" s="132">
        <f>IF(OR('SL-T'!$B$18="",Risk_Evaluation[[#This Row],[Actual Risk - 
G-6f]]=""),0,VLOOKUP(Risk_Evaluation[[#This Row],[Actual Risk - 
G-6f]],_DATA!$H$3:$I$7,2,FALSE)-VLOOKUP('SL-T'!$B$18,_DATA!$H$3:$I$7,2,FALSE))</f>
        <v>0</v>
      </c>
      <c r="AJ58" s="187"/>
      <c r="AK58" s="188"/>
    </row>
    <row r="59" spans="1:37" s="10" customFormat="1">
      <c r="A59" s="126" t="str">
        <f>Attacker_Threat_Zone[[#This Row],[Threat Name]]</f>
        <v>CON.1.9 Forged certificates</v>
      </c>
      <c r="B59" s="119" t="str">
        <f>IF(ISBLANK(Attacker_Threat_Zone[[#This Row],[Relevance]]),"No",Attacker_Threat_Zone[[#This Row],[Relevance]])</f>
        <v>No</v>
      </c>
      <c r="C59" s="168"/>
      <c r="D59" s="167"/>
      <c r="E59" s="120" t="str">
        <f>VLOOKUP(Risk_Evaluation[[#This Row],[Threat Catalogue]],_3_3_OVERVIEW_PRE!$A$7:$B$66,2,FALSE)</f>
        <v/>
      </c>
      <c r="F59" s="171"/>
      <c r="G59" s="171"/>
      <c r="H59" s="127" t="str">
        <f>IF(ISBLANK(Attacker_Threat_Zone[[#This Row],[Exposure]]),"",Attacker_Threat_Zone[[#This Row],[Exposure]])</f>
        <v/>
      </c>
      <c r="I59" s="175"/>
      <c r="J59" s="127" t="str">
        <f>IF(ISBLANK(Attacker_Threat_Zone[[#This Row],[Vulnerability]]),"",Attacker_Threat_Zone[[#This Row],[Vulnerability]])</f>
        <v/>
      </c>
      <c r="K59" s="175"/>
      <c r="L59" s="128" t="str">
        <f>IF(Risk_Evaluation[[#This Row],[Exposure - G-6b]]&lt;&gt;"",MIN(Risk_Evaluation[[#This Row],[Exposure - G-6b]:[Exposure - 
G-6b
Override]]),"")</f>
        <v/>
      </c>
      <c r="M59" s="128" t="str">
        <f>IF(Risk_Evaluation[[#This Row],[Vulnerability - 
G-6b]]&lt;&gt;"",MIN(Risk_Evaluation[[#This Row],[Vulnerability - 
G-6b]:[Vulnerability - 
G-6b
Override]]),"")</f>
        <v/>
      </c>
      <c r="N59" s="128" t="str">
        <f>IF(COUNT(Risk_Evaluation[[#This Row],[Exp min]:[Vul min]])=2,Risk_Evaluation[[#This Row],[Exp min]]+Risk_Evaluation[[#This Row],[Vul min]]-1,"")</f>
        <v/>
      </c>
      <c r="O59" s="128" t="str">
        <f>Attacker_Threat_Zone[[#This Row],[Impact
Max]]</f>
        <v/>
      </c>
      <c r="P59" s="175"/>
      <c r="Q59" s="121" t="str" cm="1">
        <f t="array" ref="Q5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59" s="128">
        <f>IF(OR('SL-T'!$B$18="",Risk_Evaluation[[#This Row],[Actual Risk - 
G-6b]]=""),0,VLOOKUP(Risk_Evaluation[[#This Row],[Actual Risk - 
G-6b]],_DATA!$H$3:$I$7,2,FALSE)-VLOOKUP('SL-T'!$B$18,_DATA!$H$3:$I$7,2,FALSE))</f>
        <v>0</v>
      </c>
      <c r="S59" s="122" t="str">
        <f>VLOOKUP(Risk_Evaluation[[#This Row],[Threat Catalogue]],_3_3_OVERVIEW_MITIGATING!$A$7:$B$66,2,FALSE)</f>
        <v/>
      </c>
      <c r="T59" s="177"/>
      <c r="U59" s="175"/>
      <c r="V59" s="175"/>
      <c r="W59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59" s="175"/>
      <c r="Y59" s="123" t="str" cm="1">
        <f t="array" ref="Y59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59" s="129">
        <f>IF(OR('SL-T'!$B$18="",Risk_Evaluation[[#This Row],[Actual Risk - 
G-6d]]=""),0,VLOOKUP(Risk_Evaluation[[#This Row],[Actual Risk - 
G-6d]],_DATA!$H$3:$I$7,2,FALSE)-VLOOKUP('SL-T'!$B$18,_DATA!$H$3:$I$7,2,FALSE))</f>
        <v>0</v>
      </c>
      <c r="AA59" s="124" t="str">
        <f>VLOOKUP(Risk_Evaluation[[#This Row],[Threat Catalogue]],_2_1_OVERVIEW!$A$7:$B$66,2,FALSE)</f>
        <v/>
      </c>
      <c r="AB59" s="181"/>
      <c r="AC59" s="182"/>
      <c r="AD59" s="175"/>
      <c r="AE59" s="175"/>
      <c r="AF59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59" s="175"/>
      <c r="AH59" s="125" t="str" cm="1">
        <f t="array" ref="AH59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59" s="132">
        <f>IF(OR('SL-T'!$B$18="",Risk_Evaluation[[#This Row],[Actual Risk - 
G-6f]]=""),0,VLOOKUP(Risk_Evaluation[[#This Row],[Actual Risk - 
G-6f]],_DATA!$H$3:$I$7,2,FALSE)-VLOOKUP('SL-T'!$B$18,_DATA!$H$3:$I$7,2,FALSE))</f>
        <v>0</v>
      </c>
      <c r="AJ59" s="187"/>
      <c r="AK59" s="188"/>
    </row>
    <row r="60" spans="1:37" s="10" customFormat="1">
      <c r="A60" s="126" t="str">
        <f>Attacker_Threat_Zone[[#This Row],[Threat Name]]</f>
        <v>CON.3.1 Missing data backup</v>
      </c>
      <c r="B60" s="119" t="str">
        <f>IF(ISBLANK(Attacker_Threat_Zone[[#This Row],[Relevance]]),"No",Attacker_Threat_Zone[[#This Row],[Relevance]])</f>
        <v>No</v>
      </c>
      <c r="C60" s="168"/>
      <c r="D60" s="167"/>
      <c r="E60" s="120" t="str">
        <f>VLOOKUP(Risk_Evaluation[[#This Row],[Threat Catalogue]],_3_3_OVERVIEW_PRE!$A$7:$B$66,2,FALSE)</f>
        <v/>
      </c>
      <c r="F60" s="171"/>
      <c r="G60" s="171"/>
      <c r="H60" s="127" t="str">
        <f>IF(ISBLANK(Attacker_Threat_Zone[[#This Row],[Exposure]]),"",Attacker_Threat_Zone[[#This Row],[Exposure]])</f>
        <v/>
      </c>
      <c r="I60" s="175"/>
      <c r="J60" s="127" t="str">
        <f>IF(ISBLANK(Attacker_Threat_Zone[[#This Row],[Vulnerability]]),"",Attacker_Threat_Zone[[#This Row],[Vulnerability]])</f>
        <v/>
      </c>
      <c r="K60" s="175"/>
      <c r="L60" s="128" t="str">
        <f>IF(Risk_Evaluation[[#This Row],[Exposure - G-6b]]&lt;&gt;"",MIN(Risk_Evaluation[[#This Row],[Exposure - G-6b]:[Exposure - 
G-6b
Override]]),"")</f>
        <v/>
      </c>
      <c r="M60" s="128" t="str">
        <f>IF(Risk_Evaluation[[#This Row],[Vulnerability - 
G-6b]]&lt;&gt;"",MIN(Risk_Evaluation[[#This Row],[Vulnerability - 
G-6b]:[Vulnerability - 
G-6b
Override]]),"")</f>
        <v/>
      </c>
      <c r="N60" s="128" t="str">
        <f>IF(COUNT(Risk_Evaluation[[#This Row],[Exp min]:[Vul min]])=2,Risk_Evaluation[[#This Row],[Exp min]]+Risk_Evaluation[[#This Row],[Vul min]]-1,"")</f>
        <v/>
      </c>
      <c r="O60" s="128" t="str">
        <f>Attacker_Threat_Zone[[#This Row],[Impact
Max]]</f>
        <v/>
      </c>
      <c r="P60" s="175"/>
      <c r="Q60" s="121" t="str" cm="1">
        <f t="array" ref="Q6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60" s="128">
        <f>IF(OR('SL-T'!$B$18="",Risk_Evaluation[[#This Row],[Actual Risk - 
G-6b]]=""),0,VLOOKUP(Risk_Evaluation[[#This Row],[Actual Risk - 
G-6b]],_DATA!$H$3:$I$7,2,FALSE)-VLOOKUP('SL-T'!$B$18,_DATA!$H$3:$I$7,2,FALSE))</f>
        <v>0</v>
      </c>
      <c r="S60" s="122" t="str">
        <f>VLOOKUP(Risk_Evaluation[[#This Row],[Threat Catalogue]],_3_3_OVERVIEW_MITIGATING!$A$7:$B$66,2,FALSE)</f>
        <v/>
      </c>
      <c r="T60" s="177"/>
      <c r="U60" s="175"/>
      <c r="V60" s="175"/>
      <c r="W60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60" s="175"/>
      <c r="Y60" s="123" t="str" cm="1">
        <f t="array" ref="Y60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60" s="129">
        <f>IF(OR('SL-T'!$B$18="",Risk_Evaluation[[#This Row],[Actual Risk - 
G-6d]]=""),0,VLOOKUP(Risk_Evaluation[[#This Row],[Actual Risk - 
G-6d]],_DATA!$H$3:$I$7,2,FALSE)-VLOOKUP('SL-T'!$B$18,_DATA!$H$3:$I$7,2,FALSE))</f>
        <v>0</v>
      </c>
      <c r="AA60" s="124" t="str">
        <f>VLOOKUP(Risk_Evaluation[[#This Row],[Threat Catalogue]],_2_1_OVERVIEW!$A$7:$B$66,2,FALSE)</f>
        <v/>
      </c>
      <c r="AB60" s="181"/>
      <c r="AC60" s="182"/>
      <c r="AD60" s="175"/>
      <c r="AE60" s="175"/>
      <c r="AF60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60" s="175"/>
      <c r="AH60" s="125" t="str" cm="1">
        <f t="array" ref="AH60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60" s="132">
        <f>IF(OR('SL-T'!$B$18="",Risk_Evaluation[[#This Row],[Actual Risk - 
G-6f]]=""),0,VLOOKUP(Risk_Evaluation[[#This Row],[Actual Risk - 
G-6f]],_DATA!$H$3:$I$7,2,FALSE)-VLOOKUP('SL-T'!$B$18,_DATA!$H$3:$I$7,2,FALSE))</f>
        <v>0</v>
      </c>
      <c r="AJ60" s="187"/>
      <c r="AK60" s="188"/>
    </row>
    <row r="61" spans="1:37" s="10" customFormat="1">
      <c r="A61" s="126" t="str">
        <f>Attacker_Threat_Zone[[#This Row],[Threat Name]]</f>
        <v>CON.3.2 Missing recovery tests</v>
      </c>
      <c r="B61" s="119" t="str">
        <f>IF(ISBLANK(Attacker_Threat_Zone[[#This Row],[Relevance]]),"No",Attacker_Threat_Zone[[#This Row],[Relevance]])</f>
        <v>No</v>
      </c>
      <c r="C61" s="168"/>
      <c r="D61" s="167"/>
      <c r="E61" s="120" t="str">
        <f>VLOOKUP(Risk_Evaluation[[#This Row],[Threat Catalogue]],_3_3_OVERVIEW_PRE!$A$7:$B$66,2,FALSE)</f>
        <v/>
      </c>
      <c r="F61" s="171"/>
      <c r="G61" s="171"/>
      <c r="H61" s="127" t="str">
        <f>IF(ISBLANK(Attacker_Threat_Zone[[#This Row],[Exposure]]),"",Attacker_Threat_Zone[[#This Row],[Exposure]])</f>
        <v/>
      </c>
      <c r="I61" s="175"/>
      <c r="J61" s="127" t="str">
        <f>IF(ISBLANK(Attacker_Threat_Zone[[#This Row],[Vulnerability]]),"",Attacker_Threat_Zone[[#This Row],[Vulnerability]])</f>
        <v/>
      </c>
      <c r="K61" s="175"/>
      <c r="L61" s="128" t="str">
        <f>IF(Risk_Evaluation[[#This Row],[Exposure - G-6b]]&lt;&gt;"",MIN(Risk_Evaluation[[#This Row],[Exposure - G-6b]:[Exposure - 
G-6b
Override]]),"")</f>
        <v/>
      </c>
      <c r="M61" s="128" t="str">
        <f>IF(Risk_Evaluation[[#This Row],[Vulnerability - 
G-6b]]&lt;&gt;"",MIN(Risk_Evaluation[[#This Row],[Vulnerability - 
G-6b]:[Vulnerability - 
G-6b
Override]]),"")</f>
        <v/>
      </c>
      <c r="N61" s="128" t="str">
        <f>IF(COUNT(Risk_Evaluation[[#This Row],[Exp min]:[Vul min]])=2,Risk_Evaluation[[#This Row],[Exp min]]+Risk_Evaluation[[#This Row],[Vul min]]-1,"")</f>
        <v/>
      </c>
      <c r="O61" s="128" t="str">
        <f>Attacker_Threat_Zone[[#This Row],[Impact
Max]]</f>
        <v/>
      </c>
      <c r="P61" s="175"/>
      <c r="Q61" s="121" t="str" cm="1">
        <f t="array" ref="Q6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61" s="128">
        <f>IF(OR('SL-T'!$B$18="",Risk_Evaluation[[#This Row],[Actual Risk - 
G-6b]]=""),0,VLOOKUP(Risk_Evaluation[[#This Row],[Actual Risk - 
G-6b]],_DATA!$H$3:$I$7,2,FALSE)-VLOOKUP('SL-T'!$B$18,_DATA!$H$3:$I$7,2,FALSE))</f>
        <v>0</v>
      </c>
      <c r="S61" s="122" t="str">
        <f>VLOOKUP(Risk_Evaluation[[#This Row],[Threat Catalogue]],_3_3_OVERVIEW_MITIGATING!$A$7:$B$66,2,FALSE)</f>
        <v/>
      </c>
      <c r="T61" s="177"/>
      <c r="U61" s="175"/>
      <c r="V61" s="175"/>
      <c r="W61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61" s="175"/>
      <c r="Y61" s="123" t="str" cm="1">
        <f t="array" ref="Y61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61" s="129">
        <f>IF(OR('SL-T'!$B$18="",Risk_Evaluation[[#This Row],[Actual Risk - 
G-6d]]=""),0,VLOOKUP(Risk_Evaluation[[#This Row],[Actual Risk - 
G-6d]],_DATA!$H$3:$I$7,2,FALSE)-VLOOKUP('SL-T'!$B$18,_DATA!$H$3:$I$7,2,FALSE))</f>
        <v>0</v>
      </c>
      <c r="AA61" s="124" t="str">
        <f>VLOOKUP(Risk_Evaluation[[#This Row],[Threat Catalogue]],_2_1_OVERVIEW!$A$7:$B$66,2,FALSE)</f>
        <v/>
      </c>
      <c r="AB61" s="181"/>
      <c r="AC61" s="182"/>
      <c r="AD61" s="175"/>
      <c r="AE61" s="175"/>
      <c r="AF61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61" s="175"/>
      <c r="AH61" s="125" t="str" cm="1">
        <f t="array" ref="AH61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61" s="132">
        <f>IF(OR('SL-T'!$B$18="",Risk_Evaluation[[#This Row],[Actual Risk - 
G-6f]]=""),0,VLOOKUP(Risk_Evaluation[[#This Row],[Actual Risk - 
G-6f]],_DATA!$H$3:$I$7,2,FALSE)-VLOOKUP('SL-T'!$B$18,_DATA!$H$3:$I$7,2,FALSE))</f>
        <v>0</v>
      </c>
      <c r="AJ61" s="187"/>
      <c r="AK61" s="188"/>
    </row>
    <row r="62" spans="1:37" s="10" customFormat="1" ht="28.8">
      <c r="A62" s="126" t="str">
        <f>Attacker_Threat_Zone[[#This Row],[Threat Name]]</f>
        <v>OPS.1.1.3.5 Problems with the automated distribution of patches and changes</v>
      </c>
      <c r="B62" s="119" t="str">
        <f>IF(ISBLANK(Attacker_Threat_Zone[[#This Row],[Relevance]]),"No",Attacker_Threat_Zone[[#This Row],[Relevance]])</f>
        <v>No</v>
      </c>
      <c r="C62" s="168"/>
      <c r="D62" s="167"/>
      <c r="E62" s="120" t="str">
        <f>VLOOKUP(Risk_Evaluation[[#This Row],[Threat Catalogue]],_3_3_OVERVIEW_PRE!$A$7:$B$66,2,FALSE)</f>
        <v/>
      </c>
      <c r="F62" s="171"/>
      <c r="G62" s="171"/>
      <c r="H62" s="127" t="str">
        <f>IF(ISBLANK(Attacker_Threat_Zone[[#This Row],[Exposure]]),"",Attacker_Threat_Zone[[#This Row],[Exposure]])</f>
        <v/>
      </c>
      <c r="I62" s="175"/>
      <c r="J62" s="127" t="str">
        <f>IF(ISBLANK(Attacker_Threat_Zone[[#This Row],[Vulnerability]]),"",Attacker_Threat_Zone[[#This Row],[Vulnerability]])</f>
        <v/>
      </c>
      <c r="K62" s="175"/>
      <c r="L62" s="128" t="str">
        <f>IF(Risk_Evaluation[[#This Row],[Exposure - G-6b]]&lt;&gt;"",MIN(Risk_Evaluation[[#This Row],[Exposure - G-6b]:[Exposure - 
G-6b
Override]]),"")</f>
        <v/>
      </c>
      <c r="M62" s="128" t="str">
        <f>IF(Risk_Evaluation[[#This Row],[Vulnerability - 
G-6b]]&lt;&gt;"",MIN(Risk_Evaluation[[#This Row],[Vulnerability - 
G-6b]:[Vulnerability - 
G-6b
Override]]),"")</f>
        <v/>
      </c>
      <c r="N62" s="128" t="str">
        <f>IF(COUNT(Risk_Evaluation[[#This Row],[Exp min]:[Vul min]])=2,Risk_Evaluation[[#This Row],[Exp min]]+Risk_Evaluation[[#This Row],[Vul min]]-1,"")</f>
        <v/>
      </c>
      <c r="O62" s="128" t="str">
        <f>Attacker_Threat_Zone[[#This Row],[Impact
Max]]</f>
        <v/>
      </c>
      <c r="P62" s="175"/>
      <c r="Q62" s="121" t="str" cm="1">
        <f t="array" ref="Q6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62" s="128">
        <f>IF(OR('SL-T'!$B$18="",Risk_Evaluation[[#This Row],[Actual Risk - 
G-6b]]=""),0,VLOOKUP(Risk_Evaluation[[#This Row],[Actual Risk - 
G-6b]],_DATA!$H$3:$I$7,2,FALSE)-VLOOKUP('SL-T'!$B$18,_DATA!$H$3:$I$7,2,FALSE))</f>
        <v>0</v>
      </c>
      <c r="S62" s="122" t="str">
        <f>VLOOKUP(Risk_Evaluation[[#This Row],[Threat Catalogue]],_3_3_OVERVIEW_MITIGATING!$A$7:$B$66,2,FALSE)</f>
        <v/>
      </c>
      <c r="T62" s="177"/>
      <c r="U62" s="175"/>
      <c r="V62" s="175"/>
      <c r="W62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62" s="175"/>
      <c r="Y62" s="123" t="str" cm="1">
        <f t="array" ref="Y62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62" s="129">
        <f>IF(OR('SL-T'!$B$18="",Risk_Evaluation[[#This Row],[Actual Risk - 
G-6d]]=""),0,VLOOKUP(Risk_Evaluation[[#This Row],[Actual Risk - 
G-6d]],_DATA!$H$3:$I$7,2,FALSE)-VLOOKUP('SL-T'!$B$18,_DATA!$H$3:$I$7,2,FALSE))</f>
        <v>0</v>
      </c>
      <c r="AA62" s="124" t="str">
        <f>VLOOKUP(Risk_Evaluation[[#This Row],[Threat Catalogue]],_2_1_OVERVIEW!$A$7:$B$66,2,FALSE)</f>
        <v/>
      </c>
      <c r="AB62" s="181"/>
      <c r="AC62" s="182"/>
      <c r="AD62" s="175"/>
      <c r="AE62" s="175"/>
      <c r="AF62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62" s="175"/>
      <c r="AH62" s="125" t="str" cm="1">
        <f t="array" ref="AH62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62" s="132">
        <f>IF(OR('SL-T'!$B$18="",Risk_Evaluation[[#This Row],[Actual Risk - 
G-6f]]=""),0,VLOOKUP(Risk_Evaluation[[#This Row],[Actual Risk - 
G-6f]],_DATA!$H$3:$I$7,2,FALSE)-VLOOKUP('SL-T'!$B$18,_DATA!$H$3:$I$7,2,FALSE))</f>
        <v>0</v>
      </c>
      <c r="AJ62" s="187"/>
      <c r="AK62" s="188"/>
    </row>
    <row r="63" spans="1:37" s="10" customFormat="1" ht="28.8">
      <c r="A63" s="126" t="str">
        <f>Attacker_Threat_Zone[[#This Row],[Threat Name]]</f>
        <v>OPS.1.1.3.6 Insufficient recovery options for patch and change management</v>
      </c>
      <c r="B63" s="119" t="str">
        <f>IF(ISBLANK(Attacker_Threat_Zone[[#This Row],[Relevance]]),"No",Attacker_Threat_Zone[[#This Row],[Relevance]])</f>
        <v>No</v>
      </c>
      <c r="C63" s="168"/>
      <c r="D63" s="167"/>
      <c r="E63" s="120" t="str">
        <f>VLOOKUP(Risk_Evaluation[[#This Row],[Threat Catalogue]],_3_3_OVERVIEW_PRE!$A$7:$B$66,2,FALSE)</f>
        <v/>
      </c>
      <c r="F63" s="171"/>
      <c r="G63" s="171"/>
      <c r="H63" s="127" t="str">
        <f>IF(ISBLANK(Attacker_Threat_Zone[[#This Row],[Exposure]]),"",Attacker_Threat_Zone[[#This Row],[Exposure]])</f>
        <v/>
      </c>
      <c r="I63" s="175"/>
      <c r="J63" s="127" t="str">
        <f>IF(ISBLANK(Attacker_Threat_Zone[[#This Row],[Vulnerability]]),"",Attacker_Threat_Zone[[#This Row],[Vulnerability]])</f>
        <v/>
      </c>
      <c r="K63" s="175"/>
      <c r="L63" s="128" t="str">
        <f>IF(Risk_Evaluation[[#This Row],[Exposure - G-6b]]&lt;&gt;"",MIN(Risk_Evaluation[[#This Row],[Exposure - G-6b]:[Exposure - 
G-6b
Override]]),"")</f>
        <v/>
      </c>
      <c r="M63" s="128" t="str">
        <f>IF(Risk_Evaluation[[#This Row],[Vulnerability - 
G-6b]]&lt;&gt;"",MIN(Risk_Evaluation[[#This Row],[Vulnerability - 
G-6b]:[Vulnerability - 
G-6b
Override]]),"")</f>
        <v/>
      </c>
      <c r="N63" s="128" t="str">
        <f>IF(COUNT(Risk_Evaluation[[#This Row],[Exp min]:[Vul min]])=2,Risk_Evaluation[[#This Row],[Exp min]]+Risk_Evaluation[[#This Row],[Vul min]]-1,"")</f>
        <v/>
      </c>
      <c r="O63" s="128" t="str">
        <f>Attacker_Threat_Zone[[#This Row],[Impact
Max]]</f>
        <v/>
      </c>
      <c r="P63" s="175"/>
      <c r="Q63" s="121" t="str" cm="1">
        <f t="array" ref="Q6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63" s="128">
        <f>IF(OR('SL-T'!$B$18="",Risk_Evaluation[[#This Row],[Actual Risk - 
G-6b]]=""),0,VLOOKUP(Risk_Evaluation[[#This Row],[Actual Risk - 
G-6b]],_DATA!$H$3:$I$7,2,FALSE)-VLOOKUP('SL-T'!$B$18,_DATA!$H$3:$I$7,2,FALSE))</f>
        <v>0</v>
      </c>
      <c r="S63" s="122" t="str">
        <f>VLOOKUP(Risk_Evaluation[[#This Row],[Threat Catalogue]],_3_3_OVERVIEW_MITIGATING!$A$7:$B$66,2,FALSE)</f>
        <v/>
      </c>
      <c r="T63" s="177"/>
      <c r="U63" s="175"/>
      <c r="V63" s="175"/>
      <c r="W63" s="179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63" s="175"/>
      <c r="Y63" s="123" t="str" cm="1">
        <f t="array" ref="Y63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63" s="129">
        <f>IF(OR('SL-T'!$B$18="",Risk_Evaluation[[#This Row],[Actual Risk - 
G-6d]]=""),0,VLOOKUP(Risk_Evaluation[[#This Row],[Actual Risk - 
G-6d]],_DATA!$H$3:$I$7,2,FALSE)-VLOOKUP('SL-T'!$B$18,_DATA!$H$3:$I$7,2,FALSE))</f>
        <v>0</v>
      </c>
      <c r="AA63" s="124" t="str">
        <f>VLOOKUP(Risk_Evaluation[[#This Row],[Threat Catalogue]],_2_1_OVERVIEW!$A$7:$B$66,2,FALSE)</f>
        <v/>
      </c>
      <c r="AB63" s="181"/>
      <c r="AC63" s="182"/>
      <c r="AD63" s="175"/>
      <c r="AE63" s="175"/>
      <c r="AF63" s="131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63" s="175"/>
      <c r="AH63" s="125" t="str" cm="1">
        <f t="array" ref="AH63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63" s="132">
        <f>IF(OR('SL-T'!$B$18="",Risk_Evaluation[[#This Row],[Actual Risk - 
G-6f]]=""),0,VLOOKUP(Risk_Evaluation[[#This Row],[Actual Risk - 
G-6f]],_DATA!$H$3:$I$7,2,FALSE)-VLOOKUP('SL-T'!$B$18,_DATA!$H$3:$I$7,2,FALSE))</f>
        <v>0</v>
      </c>
      <c r="AJ63" s="187"/>
      <c r="AK63" s="188"/>
    </row>
    <row r="64" spans="1:37" s="10" customFormat="1" ht="28.8">
      <c r="A64" s="134" t="str">
        <f>Attacker_Threat_Zone[[#This Row],[Threat Name]]</f>
        <v>OPS.1.1.3.8 Manipulation of data and tools during patch and change management</v>
      </c>
      <c r="B64" s="135" t="str">
        <f>IF(ISBLANK(Attacker_Threat_Zone[[#This Row],[Relevance]]),"No",Attacker_Threat_Zone[[#This Row],[Relevance]])</f>
        <v>No</v>
      </c>
      <c r="C64" s="169"/>
      <c r="D64" s="170"/>
      <c r="E64" s="136" t="str">
        <f>VLOOKUP(Risk_Evaluation[[#This Row],[Threat Catalogue]],_3_3_OVERVIEW_PRE!$A$7:$B$66,2,FALSE)</f>
        <v/>
      </c>
      <c r="F64" s="171"/>
      <c r="G64" s="172"/>
      <c r="H64" s="137" t="str">
        <f>IF(ISBLANK(Attacker_Threat_Zone[[#This Row],[Exposure]]),"",Attacker_Threat_Zone[[#This Row],[Exposure]])</f>
        <v/>
      </c>
      <c r="I64" s="176"/>
      <c r="J64" s="137" t="str">
        <f>IF(ISBLANK(Attacker_Threat_Zone[[#This Row],[Vulnerability]]),"",Attacker_Threat_Zone[[#This Row],[Vulnerability]])</f>
        <v/>
      </c>
      <c r="K64" s="176"/>
      <c r="L64" s="128" t="str">
        <f>IF(Risk_Evaluation[[#This Row],[Exposure - G-6b]]&lt;&gt;"",MIN(Risk_Evaluation[[#This Row],[Exposure - G-6b]:[Exposure - 
G-6b
Override]]),"")</f>
        <v/>
      </c>
      <c r="M64" s="128" t="str">
        <f>IF(Risk_Evaluation[[#This Row],[Vulnerability - 
G-6b]]&lt;&gt;"",MIN(Risk_Evaluation[[#This Row],[Vulnerability - 
G-6b]:[Vulnerability - 
G-6b
Override]]),"")</f>
        <v/>
      </c>
      <c r="N64" s="138" t="str">
        <f>IF(COUNT(Risk_Evaluation[[#This Row],[Exp min]:[Vul min]])=2,Risk_Evaluation[[#This Row],[Exp min]]+Risk_Evaluation[[#This Row],[Vul min]]-1,"")</f>
        <v/>
      </c>
      <c r="O64" s="138" t="str">
        <f>Attacker_Threat_Zone[[#This Row],[Impact
Max]]</f>
        <v/>
      </c>
      <c r="P64" s="176"/>
      <c r="Q64" s="139" t="str" cm="1">
        <f t="array" ref="Q6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R64" s="138">
        <f>IF(OR('SL-T'!$B$18="",Risk_Evaluation[[#This Row],[Actual Risk - 
G-6b]]=""),0,VLOOKUP(Risk_Evaluation[[#This Row],[Actual Risk - 
G-6b]],_DATA!$H$3:$I$7,2,FALSE)-VLOOKUP('SL-T'!$B$18,_DATA!$H$3:$I$7,2,FALSE))</f>
        <v>0</v>
      </c>
      <c r="S64" s="140" t="str">
        <f>VLOOKUP(Risk_Evaluation[[#This Row],[Threat Catalogue]],_3_3_OVERVIEW_MITIGATING!$A$7:$B$66,2,FALSE)</f>
        <v/>
      </c>
      <c r="T64" s="178"/>
      <c r="U64" s="176"/>
      <c r="V64" s="176"/>
      <c r="W64" s="180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X64" s="176"/>
      <c r="Y64" s="123" t="str" cm="1">
        <f t="array" ref="Y64">IF(OR(Risk_Evaluation[[#This Row],[Likelihood - 
G-6d]]="",Risk_Evaluation[[#This Row],[Impact - G-6d]]=""),"",INDEX(Risk!$C$4:$F$8,Risk_Evaluation[[#This Row],[Likelihood - 
G-6d]],VLOOKUP(Risk_Evaluation[[#This Row],[Impact - G-6d]],Impact_Mapping[],2,FALSE)))</f>
        <v/>
      </c>
      <c r="Z64" s="141">
        <f>IF(OR('SL-T'!$B$18="",Risk_Evaluation[[#This Row],[Actual Risk - 
G-6d]]=""),0,VLOOKUP(Risk_Evaluation[[#This Row],[Actual Risk - 
G-6d]],_DATA!$H$3:$I$7,2,FALSE)-VLOOKUP('SL-T'!$B$18,_DATA!$H$3:$I$7,2,FALSE))</f>
        <v>0</v>
      </c>
      <c r="AA64" s="142" t="str">
        <f>VLOOKUP(Risk_Evaluation[[#This Row],[Threat Catalogue]],_2_1_OVERVIEW!$A$7:$B$66,2,FALSE)</f>
        <v/>
      </c>
      <c r="AB64" s="183"/>
      <c r="AC64" s="184"/>
      <c r="AD64" s="176"/>
      <c r="AE64" s="176"/>
      <c r="AF64" s="14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G64" s="176"/>
      <c r="AH64" s="125" t="str" cm="1">
        <f t="array" ref="AH64">IF(OR(Risk_Evaluation[[#This Row],[Likelihood - 
G-6f]]="",Risk_Evaluation[[#This Row],[Impact - G-6f]]=""),"",INDEX(Risk!$C$4:$F$8,Risk_Evaluation[[#This Row],[Likelihood - 
G-6f]],VLOOKUP(Risk_Evaluation[[#This Row],[Impact - G-6f]],Impact_Mapping[],2,FALSE)))</f>
        <v/>
      </c>
      <c r="AI64" s="144">
        <f>IF(OR('SL-T'!$B$18="",Risk_Evaluation[[#This Row],[Actual Risk - 
G-6f]]=""),0,VLOOKUP(Risk_Evaluation[[#This Row],[Actual Risk - 
G-6f]],_DATA!$H$3:$I$7,2,FALSE)-VLOOKUP('SL-T'!$B$18,_DATA!$H$3:$I$7,2,FALSE))</f>
        <v>0</v>
      </c>
      <c r="AJ64" s="189"/>
      <c r="AK64" s="190"/>
    </row>
  </sheetData>
  <mergeCells count="9">
    <mergeCell ref="AI4:AJ4"/>
    <mergeCell ref="A1:AB1"/>
    <mergeCell ref="A4:D4"/>
    <mergeCell ref="U4:Y4"/>
    <mergeCell ref="AD4:AH4"/>
    <mergeCell ref="S4:T4"/>
    <mergeCell ref="H2:Q4"/>
    <mergeCell ref="AA2:AB4"/>
    <mergeCell ref="E2:G4"/>
  </mergeCells>
  <conditionalFormatting sqref="B2 Q6:Q64 Y6:Y64 AH6:AH64">
    <cfRule type="cellIs" dxfId="11" priority="10" operator="equal">
      <formula>"Significant"</formula>
    </cfRule>
    <cfRule type="cellIs" dxfId="10" priority="11" operator="equal">
      <formula>"Very High"</formula>
    </cfRule>
    <cfRule type="cellIs" dxfId="9" priority="12" operator="equal">
      <formula>"High"</formula>
    </cfRule>
    <cfRule type="cellIs" dxfId="8" priority="13" operator="equal">
      <formula>"Medium"</formula>
    </cfRule>
    <cfRule type="cellIs" dxfId="7" priority="14" operator="equal">
      <formula>"Low"</formula>
    </cfRule>
  </conditionalFormatting>
  <conditionalFormatting sqref="I6:I64 K6:K64">
    <cfRule type="expression" dxfId="6" priority="1">
      <formula>H6&lt;I6</formula>
    </cfRule>
  </conditionalFormatting>
  <conditionalFormatting sqref="R6:R64 Z6:Z64 AI6:AI64">
    <cfRule type="cellIs" dxfId="5" priority="7" operator="greaterThan">
      <formula>1</formula>
    </cfRule>
    <cfRule type="cellIs" dxfId="4" priority="8" operator="equal">
      <formula>1</formula>
    </cfRule>
    <cfRule type="cellIs" dxfId="3" priority="9" operator="equal">
      <formula>0</formula>
    </cfRule>
  </conditionalFormatting>
  <conditionalFormatting sqref="U6:V64">
    <cfRule type="expression" dxfId="2" priority="3">
      <formula>U6&lt;&gt;L6</formula>
    </cfRule>
  </conditionalFormatting>
  <conditionalFormatting sqref="X6:X64">
    <cfRule type="expression" dxfId="1" priority="4">
      <formula>$X6&lt;&gt;$O6</formula>
    </cfRule>
  </conditionalFormatting>
  <conditionalFormatting sqref="AD6:AE64 AG6:AG64">
    <cfRule type="expression" dxfId="0" priority="6">
      <formula>AD6&lt;&gt;U6</formula>
    </cfRule>
  </conditionalFormatting>
  <dataValidations count="1">
    <dataValidation type="list" allowBlank="1" showInputMessage="1" showErrorMessage="1" sqref="AD6:AE64 U6:V64 I6:I64 K6:K64" xr:uid="{00000000-0002-0000-0700-000000000000}">
      <formula1>"1,2,3"</formula1>
    </dataValidation>
  </dataValidations>
  <pageMargins left="0.7" right="0.7" top="0.78740157499999996" bottom="0.78740157499999996" header="0.3" footer="0.3"/>
  <pageSetup paperSize="9" orientation="portrait" horizontalDpi="4294967294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338CDC-3C53-4115-8D27-56A4C18279D1}">
          <x14:formula1>
            <xm:f>_DATA!$D$3:$D$6</xm:f>
          </x14:formula1>
          <xm:sqref>X6:X64 AG6:AG64 P6:P64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>
    <tabColor rgb="FF92D050"/>
  </sheetPr>
  <dimension ref="A1:E24"/>
  <sheetViews>
    <sheetView topLeftCell="A14" zoomScaleNormal="100" workbookViewId="0">
      <selection activeCell="F5" sqref="F5"/>
    </sheetView>
  </sheetViews>
  <sheetFormatPr baseColWidth="10" defaultColWidth="11.5546875" defaultRowHeight="14.4"/>
  <cols>
    <col min="2" max="5" width="40.77734375" customWidth="1"/>
  </cols>
  <sheetData>
    <row r="1" spans="1:5" ht="33" customHeight="1" thickBot="1">
      <c r="A1" s="270" t="s">
        <v>0</v>
      </c>
      <c r="B1" s="270"/>
      <c r="C1" s="270"/>
      <c r="D1" s="270"/>
      <c r="E1" s="270"/>
    </row>
    <row r="2" spans="1:5">
      <c r="A2" s="86" t="s">
        <v>427</v>
      </c>
      <c r="B2" s="201" t="s">
        <v>428</v>
      </c>
      <c r="C2" s="202" t="s">
        <v>581</v>
      </c>
      <c r="D2" s="86" t="s">
        <v>429</v>
      </c>
      <c r="E2" s="202" t="s">
        <v>582</v>
      </c>
    </row>
    <row r="3" spans="1:5" ht="21" thickBot="1">
      <c r="A3" s="85"/>
      <c r="B3" s="203"/>
      <c r="C3" s="204"/>
      <c r="D3" s="87" t="s">
        <v>430</v>
      </c>
      <c r="E3" s="204"/>
    </row>
    <row r="4" spans="1:5" ht="41.4" thickBot="1">
      <c r="A4" s="271">
        <v>1</v>
      </c>
      <c r="B4" s="205" t="s">
        <v>431</v>
      </c>
      <c r="C4" s="206"/>
      <c r="D4" s="205" t="s">
        <v>432</v>
      </c>
      <c r="E4" s="206" t="s">
        <v>583</v>
      </c>
    </row>
    <row r="5" spans="1:5" ht="30.6">
      <c r="A5" s="272"/>
      <c r="B5" s="207" t="s">
        <v>584</v>
      </c>
      <c r="C5" s="208" t="s">
        <v>585</v>
      </c>
      <c r="D5" s="209" t="s">
        <v>433</v>
      </c>
      <c r="E5" s="275" t="s">
        <v>586</v>
      </c>
    </row>
    <row r="6" spans="1:5" ht="30.6">
      <c r="A6" s="272"/>
      <c r="B6" s="210" t="s">
        <v>587</v>
      </c>
      <c r="C6" s="211" t="s">
        <v>588</v>
      </c>
      <c r="D6" s="210" t="s">
        <v>434</v>
      </c>
      <c r="E6" s="276"/>
    </row>
    <row r="7" spans="1:5" ht="21" thickBot="1">
      <c r="A7" s="273"/>
      <c r="B7" s="212" t="e" cm="1">
        <f t="array" ref="B7">- product or components cannot be acquired by attacker or only with high effort</f>
        <v>#NAME?</v>
      </c>
      <c r="C7" s="212" t="s">
        <v>589</v>
      </c>
      <c r="D7" s="212" t="s">
        <v>435</v>
      </c>
      <c r="E7" s="212" t="s">
        <v>590</v>
      </c>
    </row>
    <row r="8" spans="1:5" ht="41.4" thickBot="1">
      <c r="A8" s="274">
        <v>2</v>
      </c>
      <c r="B8" s="213" t="s">
        <v>436</v>
      </c>
      <c r="C8" s="214"/>
      <c r="D8" s="215" t="s">
        <v>437</v>
      </c>
      <c r="E8" s="214" t="s">
        <v>591</v>
      </c>
    </row>
    <row r="9" spans="1:5" ht="30.6">
      <c r="A9" s="272"/>
      <c r="B9" s="216" t="s">
        <v>438</v>
      </c>
      <c r="C9" s="208" t="s">
        <v>592</v>
      </c>
      <c r="D9" s="217" t="s">
        <v>439</v>
      </c>
      <c r="E9" s="277" t="s">
        <v>593</v>
      </c>
    </row>
    <row r="10" spans="1:5" ht="20.399999999999999">
      <c r="A10" s="272"/>
      <c r="B10" s="216" t="s">
        <v>440</v>
      </c>
      <c r="C10" s="208" t="s">
        <v>594</v>
      </c>
      <c r="D10" s="218" t="s">
        <v>441</v>
      </c>
      <c r="E10" s="278"/>
    </row>
    <row r="11" spans="1:5" ht="21" thickBot="1">
      <c r="A11" s="273"/>
      <c r="B11" s="212" t="s">
        <v>442</v>
      </c>
      <c r="C11" s="212" t="s">
        <v>589</v>
      </c>
      <c r="D11" s="219" t="s">
        <v>443</v>
      </c>
      <c r="E11" s="212" t="s">
        <v>590</v>
      </c>
    </row>
    <row r="12" spans="1:5" ht="21" thickBot="1">
      <c r="A12" s="274">
        <v>3</v>
      </c>
      <c r="B12" s="220" t="s">
        <v>444</v>
      </c>
      <c r="C12" s="214"/>
      <c r="D12" s="221" t="s">
        <v>445</v>
      </c>
      <c r="E12" s="279" t="s">
        <v>595</v>
      </c>
    </row>
    <row r="13" spans="1:5" ht="40.799999999999997">
      <c r="A13" s="272"/>
      <c r="B13" s="222" t="s">
        <v>446</v>
      </c>
      <c r="C13" s="208" t="s">
        <v>596</v>
      </c>
      <c r="D13" s="223" t="s">
        <v>447</v>
      </c>
      <c r="E13" s="280"/>
    </row>
    <row r="14" spans="1:5" ht="91.8">
      <c r="A14" s="272"/>
      <c r="B14" s="224" t="s">
        <v>448</v>
      </c>
      <c r="C14" s="225" t="s">
        <v>605</v>
      </c>
      <c r="D14" s="216" t="s">
        <v>449</v>
      </c>
      <c r="E14" s="281"/>
    </row>
    <row r="15" spans="1:5" ht="40.799999999999997">
      <c r="A15" s="272"/>
      <c r="B15" s="222" t="s">
        <v>450</v>
      </c>
      <c r="C15" s="208" t="s">
        <v>597</v>
      </c>
      <c r="D15" s="282" t="s">
        <v>451</v>
      </c>
      <c r="E15" s="282" t="s">
        <v>590</v>
      </c>
    </row>
    <row r="16" spans="1:5" ht="21" thickBot="1">
      <c r="A16" s="273"/>
      <c r="B16" s="226" t="s">
        <v>598</v>
      </c>
      <c r="C16" s="212" t="s">
        <v>589</v>
      </c>
      <c r="D16" s="283"/>
      <c r="E16" s="283"/>
    </row>
    <row r="19" spans="2:3" ht="52.2">
      <c r="B19" s="227" t="s">
        <v>599</v>
      </c>
      <c r="C19" s="227" t="s">
        <v>600</v>
      </c>
    </row>
    <row r="21" spans="2:3" ht="15" thickBot="1">
      <c r="B21" t="s">
        <v>601</v>
      </c>
    </row>
    <row r="22" spans="2:3" ht="15" thickBot="1">
      <c r="B22" s="213" t="s">
        <v>602</v>
      </c>
    </row>
    <row r="23" spans="2:3" ht="15" thickBot="1">
      <c r="B23" s="228" t="s">
        <v>603</v>
      </c>
    </row>
    <row r="24" spans="2:3" ht="15" thickBot="1">
      <c r="B24" s="212" t="s">
        <v>604</v>
      </c>
    </row>
  </sheetData>
  <mergeCells count="9">
    <mergeCell ref="A1:E1"/>
    <mergeCell ref="A4:A7"/>
    <mergeCell ref="A8:A11"/>
    <mergeCell ref="A12:A16"/>
    <mergeCell ref="E5:E6"/>
    <mergeCell ref="E9:E10"/>
    <mergeCell ref="E12:E14"/>
    <mergeCell ref="D15:D16"/>
    <mergeCell ref="E15:E16"/>
  </mergeCells>
  <pageMargins left="0.7" right="0.7" top="0.78740157499999996" bottom="0.78740157499999996" header="0.3" footer="0.3"/>
  <pageSetup paperSize="9" orientation="portrait" horizontalDpi="4294967294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5011c9f-52ff-488b-9254-027e8cc384b8" xsi:nil="true"/>
    <lcf76f155ced4ddcb4097134ff3c332f xmlns="aa9dc57f-4e95-4a26-a0fe-c89c07b96c7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2E308A5E041541845B4A65E75022CF" ma:contentTypeVersion="16" ma:contentTypeDescription="Create a new document." ma:contentTypeScope="" ma:versionID="174b0589707692c66bcf3dd3d68a4c72">
  <xsd:schema xmlns:xsd="http://www.w3.org/2001/XMLSchema" xmlns:xs="http://www.w3.org/2001/XMLSchema" xmlns:p="http://schemas.microsoft.com/office/2006/metadata/properties" xmlns:ns2="aa9dc57f-4e95-4a26-a0fe-c89c07b96c77" xmlns:ns3="b5011c9f-52ff-488b-9254-027e8cc384b8" targetNamespace="http://schemas.microsoft.com/office/2006/metadata/properties" ma:root="true" ma:fieldsID="4a39f437898751244175ca29b36c20db" ns2:_="" ns3:_="">
    <xsd:import namespace="aa9dc57f-4e95-4a26-a0fe-c89c07b96c77"/>
    <xsd:import namespace="b5011c9f-52ff-488b-9254-027e8cc384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9dc57f-4e95-4a26-a0fe-c89c07b96c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dc8654f-099b-4fbc-bac7-8913d318b5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11c9f-52ff-488b-9254-027e8cc384b8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48a668c-5ae6-4c7f-8497-3b8b91067440}" ma:internalName="TaxCatchAll" ma:showField="CatchAllData" ma:web="b5011c9f-52ff-488b-9254-027e8cc384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3B046A-158E-4399-9379-18BCFCB8E6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79DC02-0DF5-4D02-AA3D-1B3DDDA7BA14}">
  <ds:schemaRefs>
    <ds:schemaRef ds:uri="http://purl.org/dc/dcmitype/"/>
    <ds:schemaRef ds:uri="e33da958-c910-45fd-8f20-c94241588bf3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f8c19b70-4f9d-4bc3-b95a-c64b4aff9949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01F5687-2675-4A40-BA51-F7F5AE3B55D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Explanation</vt:lpstr>
      <vt:lpstr>Changelog</vt:lpstr>
      <vt:lpstr>Zone definition</vt:lpstr>
      <vt:lpstr>Threats_SL</vt:lpstr>
      <vt:lpstr>SL-T</vt:lpstr>
      <vt:lpstr>Measures_62443-3-3</vt:lpstr>
      <vt:lpstr>Measures_62443-2-1</vt:lpstr>
      <vt:lpstr>Risk_evaluation</vt:lpstr>
      <vt:lpstr>Likelihood</vt:lpstr>
      <vt:lpstr>Impact</vt:lpstr>
      <vt:lpstr>Risk</vt:lpstr>
      <vt:lpstr>Template_Changelog</vt:lpstr>
      <vt:lpstr>_Measures_Heatmap</vt:lpstr>
      <vt:lpstr>_3_3_OVERVIEW_PRE</vt:lpstr>
      <vt:lpstr>_3_3_OVERVIEW_MITIGATING</vt:lpstr>
      <vt:lpstr>_2_1_OVERVIEW</vt:lpstr>
      <vt:lpstr>_DATA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ERORAT - Risk Assessment</dc:title>
  <dc:subject/>
  <dc:creator>Max Schubert;richard.poschinger@incyde.com</dc:creator>
  <cp:keywords/>
  <dc:description/>
  <cp:lastModifiedBy>Richard Poschinger</cp:lastModifiedBy>
  <cp:revision/>
  <dcterms:created xsi:type="dcterms:W3CDTF">2020-07-22T18:19:27Z</dcterms:created>
  <dcterms:modified xsi:type="dcterms:W3CDTF">2025-10-31T12:55:58Z</dcterms:modified>
  <cp:category>Risk Assessment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0x0101007E2E308A5E041541845B4A65E75022CF</vt:lpwstr>
  </property>
  <property fmtid="{D5CDD505-2E9C-101B-9397-08002B2CF9AE}" pid="4" name="MSIP_Label_c8d3f7c8-5c4b-4ab6-9486-a0a9eb08efa7_Enabled">
    <vt:lpwstr>true</vt:lpwstr>
  </property>
  <property fmtid="{D5CDD505-2E9C-101B-9397-08002B2CF9AE}" pid="5" name="MSIP_Label_c8d3f7c8-5c4b-4ab6-9486-a0a9eb08efa7_SetDate">
    <vt:lpwstr>2023-06-07T13:07:05Z</vt:lpwstr>
  </property>
  <property fmtid="{D5CDD505-2E9C-101B-9397-08002B2CF9AE}" pid="6" name="MSIP_Label_c8d3f7c8-5c4b-4ab6-9486-a0a9eb08efa7_Method">
    <vt:lpwstr>Standard</vt:lpwstr>
  </property>
  <property fmtid="{D5CDD505-2E9C-101B-9397-08002B2CF9AE}" pid="7" name="MSIP_Label_c8d3f7c8-5c4b-4ab6-9486-a0a9eb08efa7_Name">
    <vt:lpwstr>Interne - Groupe</vt:lpwstr>
  </property>
  <property fmtid="{D5CDD505-2E9C-101B-9397-08002B2CF9AE}" pid="8" name="MSIP_Label_c8d3f7c8-5c4b-4ab6-9486-a0a9eb08efa7_SiteId">
    <vt:lpwstr>4a7c8238-5799-4b16-9fc6-9ad8fce5a7d9</vt:lpwstr>
  </property>
  <property fmtid="{D5CDD505-2E9C-101B-9397-08002B2CF9AE}" pid="9" name="MSIP_Label_c8d3f7c8-5c4b-4ab6-9486-a0a9eb08efa7_ActionId">
    <vt:lpwstr>0c4a03d6-0943-49d0-aadf-ba74b2b1261c</vt:lpwstr>
  </property>
  <property fmtid="{D5CDD505-2E9C-101B-9397-08002B2CF9AE}" pid="10" name="MSIP_Label_c8d3f7c8-5c4b-4ab6-9486-a0a9eb08efa7_ContentBits">
    <vt:lpwstr>2</vt:lpwstr>
  </property>
</Properties>
</file>