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eeigertms.sharepoint.com/sites/ERTMSSecurityCoreGroup/Gedeelde documenten/General/22 Security Guideline and ERORAT/Template/"/>
    </mc:Choice>
  </mc:AlternateContent>
  <xr:revisionPtr revIDLastSave="1186" documentId="13_ncr:1_{68B1B17B-80F9-4599-9AE2-0280BD420A79}" xr6:coauthVersionLast="47" xr6:coauthVersionMax="47" xr10:uidLastSave="{ED616B66-53A6-489B-9E71-510638363D0B}"/>
  <bookViews>
    <workbookView xWindow="-108" yWindow="-108" windowWidth="23256" windowHeight="13896" tabRatio="845" firstSheet="3" activeTab="12" xr2:uid="{00000000-000D-0000-FFFF-FFFF00000000}"/>
  </bookViews>
  <sheets>
    <sheet name="Explanation" sheetId="1" r:id="rId1"/>
    <sheet name="Changelog" sheetId="2" r:id="rId2"/>
    <sheet name="Zone definition" sheetId="3" r:id="rId3"/>
    <sheet name="Threats_SL" sheetId="4" r:id="rId4"/>
    <sheet name="SL-T" sheetId="5" r:id="rId5"/>
    <sheet name="Measures_62443-3-3" sheetId="6" r:id="rId6"/>
    <sheet name="Measures_62443-2-1" sheetId="7" r:id="rId7"/>
    <sheet name="Risk_evaluation" sheetId="8" r:id="rId8"/>
    <sheet name="Impact" sheetId="9" r:id="rId9"/>
    <sheet name="Likelihood" sheetId="10" r:id="rId10"/>
    <sheet name="Risk" sheetId="11" r:id="rId11"/>
    <sheet name="SL" sheetId="12" r:id="rId12"/>
    <sheet name="Template_Changelog" sheetId="13" r:id="rId13"/>
    <sheet name="_Measures_Heatmap" sheetId="14" state="hidden" r:id="rId14"/>
    <sheet name="_3_3_OVERVIEW_PRE" sheetId="19" state="hidden" r:id="rId15"/>
    <sheet name="_3_3_OVERVIEW_MITIGATING" sheetId="16" state="hidden" r:id="rId16"/>
    <sheet name="_2_1_OVERVIEW" sheetId="17" state="hidden" r:id="rId17"/>
    <sheet name="_DATA" sheetId="18" state="hidden" r:id="rId18"/>
  </sheets>
  <externalReferences>
    <externalReference r:id="rId19"/>
  </externalReferences>
  <definedNames>
    <definedName name="Archivierung">#REF!</definedName>
    <definedName name="Autorisierung">#REF!</definedName>
    <definedName name="Datenschutz">#REF!</definedName>
    <definedName name="dsfasdf">#REF!</definedName>
    <definedName name="Extern">#REF!</definedName>
    <definedName name="Integrität">#REF!</definedName>
    <definedName name="Katastrophenvorsorge">#REF!</definedName>
    <definedName name="Klassifizierung">#REF!</definedName>
    <definedName name="Maturity_Rating">[1]Hilfsfunktionen!$A$6:$A$11</definedName>
    <definedName name="Nein" comment="Katastrophenvorsorge">#REF!</definedName>
    <definedName name="Status">#REF!</definedName>
    <definedName name="Verfügbarkeit">#REF!</definedName>
    <definedName name="Vertraulichkeit">#REF!</definedName>
    <definedName name="Vertraulichkeitsklass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6" i="4" l="1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Z10" i="4"/>
  <c r="Z6" i="4"/>
  <c r="Z7" i="4"/>
  <c r="Z8" i="4"/>
  <c r="Z9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V6" i="4" a="1"/>
  <c r="V6" i="4" s="1"/>
  <c r="V7" i="4" a="1"/>
  <c r="V7" i="4" s="1"/>
  <c r="V8" i="4" a="1"/>
  <c r="V8" i="4" s="1"/>
  <c r="V9" i="4" a="1"/>
  <c r="V9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8" i="4" a="1"/>
  <c r="V18" i="4" s="1"/>
  <c r="V19" i="4" a="1"/>
  <c r="V19" i="4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8" i="4" a="1"/>
  <c r="V28" i="4"/>
  <c r="V29" i="4" a="1"/>
  <c r="V29" i="4" s="1"/>
  <c r="V30" i="4" a="1"/>
  <c r="V30" i="4" s="1"/>
  <c r="V31" i="4" a="1"/>
  <c r="V31" i="4" s="1"/>
  <c r="V32" i="4" a="1"/>
  <c r="V32" i="4" s="1"/>
  <c r="V33" i="4" a="1"/>
  <c r="V33" i="4"/>
  <c r="V34" i="4" a="1"/>
  <c r="V34" i="4" s="1"/>
  <c r="V35" i="4" a="1"/>
  <c r="V35" i="4" s="1"/>
  <c r="V36" i="4" a="1"/>
  <c r="V36" i="4" s="1"/>
  <c r="V37" i="4" a="1"/>
  <c r="V37" i="4" s="1"/>
  <c r="V38" i="4" a="1"/>
  <c r="V38" i="4" s="1"/>
  <c r="V39" i="4" a="1"/>
  <c r="V39" i="4" s="1"/>
  <c r="V40" i="4" a="1"/>
  <c r="V40" i="4" s="1"/>
  <c r="V41" i="4" a="1"/>
  <c r="V41" i="4"/>
  <c r="V42" i="4" a="1"/>
  <c r="V42" i="4" s="1"/>
  <c r="V43" i="4" a="1"/>
  <c r="V43" i="4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0" i="4" a="1"/>
  <c r="V50" i="4" s="1"/>
  <c r="V51" i="4" a="1"/>
  <c r="V51" i="4" s="1"/>
  <c r="V52" i="4" a="1"/>
  <c r="V52" i="4" s="1"/>
  <c r="V53" i="4" a="1"/>
  <c r="V53" i="4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/>
  <c r="V60" i="4" a="1"/>
  <c r="V60" i="4"/>
  <c r="V61" i="4" a="1"/>
  <c r="V61" i="4" s="1"/>
  <c r="V62" i="4" a="1"/>
  <c r="V62" i="4" s="1"/>
  <c r="V63" i="4" a="1"/>
  <c r="V63" i="4" s="1"/>
  <c r="V64" i="4" a="1"/>
  <c r="V64" i="4" s="1"/>
  <c r="U6" i="4" a="1"/>
  <c r="U6" i="4" s="1"/>
  <c r="U7" i="4" a="1"/>
  <c r="U7" i="4" s="1"/>
  <c r="U8" i="4" a="1"/>
  <c r="U8" i="4" s="1"/>
  <c r="U9" i="4" a="1"/>
  <c r="U9" i="4" s="1"/>
  <c r="U11" i="4" a="1"/>
  <c r="U11" i="4" s="1"/>
  <c r="U12" i="4" a="1"/>
  <c r="U12" i="4"/>
  <c r="U13" i="4" a="1"/>
  <c r="U13" i="4"/>
  <c r="U14" i="4" a="1"/>
  <c r="U14" i="4" s="1"/>
  <c r="U15" i="4" a="1"/>
  <c r="U15" i="4" s="1"/>
  <c r="U16" i="4" a="1"/>
  <c r="U16" i="4" s="1"/>
  <c r="U17" i="4" a="1"/>
  <c r="U17" i="4" s="1"/>
  <c r="U18" i="4" a="1"/>
  <c r="U18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/>
  <c r="U27" i="4" a="1"/>
  <c r="U27" i="4"/>
  <c r="U28" i="4" a="1"/>
  <c r="U28" i="4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5" i="4" a="1"/>
  <c r="U35" i="4"/>
  <c r="U36" i="4" a="1"/>
  <c r="U36" i="4"/>
  <c r="U37" i="4" a="1"/>
  <c r="U37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/>
  <c r="U46" i="4" a="1"/>
  <c r="U46" i="4" s="1"/>
  <c r="U47" i="4" a="1"/>
  <c r="U47" i="4" s="1"/>
  <c r="U48" i="4" a="1"/>
  <c r="U48" i="4" s="1"/>
  <c r="U49" i="4" a="1"/>
  <c r="U49" i="4"/>
  <c r="U50" i="4" a="1"/>
  <c r="U50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/>
  <c r="U61" i="4" a="1"/>
  <c r="U61" i="4"/>
  <c r="U62" i="4" a="1"/>
  <c r="U62" i="4" s="1"/>
  <c r="U63" i="4" a="1"/>
  <c r="U63" i="4" s="1"/>
  <c r="U64" i="4" a="1"/>
  <c r="U64" i="4" s="1"/>
  <c r="T6" i="4" a="1"/>
  <c r="T6" i="4" s="1"/>
  <c r="T7" i="4" a="1"/>
  <c r="T7" i="4" s="1"/>
  <c r="T8" i="4" a="1"/>
  <c r="T8" i="4" s="1"/>
  <c r="T9" i="4" a="1"/>
  <c r="T9" i="4" s="1"/>
  <c r="T11" i="4" a="1"/>
  <c r="T11" i="4" s="1"/>
  <c r="T12" i="4" a="1"/>
  <c r="T12" i="4" s="1"/>
  <c r="T13" i="4" a="1"/>
  <c r="T13" i="4" s="1"/>
  <c r="T14" i="4" a="1"/>
  <c r="T14" i="4" s="1"/>
  <c r="T15" i="4" a="1"/>
  <c r="T15" i="4" s="1"/>
  <c r="T16" i="4" a="1"/>
  <c r="T16" i="4"/>
  <c r="T17" i="4" a="1"/>
  <c r="T17" i="4"/>
  <c r="T18" i="4" a="1"/>
  <c r="T18" i="4" s="1"/>
  <c r="T19" i="4" a="1"/>
  <c r="T19" i="4"/>
  <c r="T20" i="4" a="1"/>
  <c r="T20" i="4" s="1"/>
  <c r="T21" i="4" a="1"/>
  <c r="T21" i="4" s="1"/>
  <c r="T22" i="4" a="1"/>
  <c r="T22" i="4" s="1"/>
  <c r="T23" i="4" a="1"/>
  <c r="T23" i="4" s="1"/>
  <c r="T24" i="4" a="1"/>
  <c r="T24" i="4" s="1"/>
  <c r="T25" i="4" a="1"/>
  <c r="T25" i="4" s="1"/>
  <c r="T26" i="4" a="1"/>
  <c r="T26" i="4" s="1"/>
  <c r="T27" i="4" a="1"/>
  <c r="T27" i="4" s="1"/>
  <c r="T28" i="4" a="1"/>
  <c r="T28" i="4" s="1"/>
  <c r="T29" i="4" a="1"/>
  <c r="T29" i="4" s="1"/>
  <c r="T30" i="4" a="1"/>
  <c r="T30" i="4" s="1"/>
  <c r="T31" i="4" a="1"/>
  <c r="T31" i="4" s="1"/>
  <c r="T32" i="4" a="1"/>
  <c r="T32" i="4" s="1"/>
  <c r="T33" i="4" a="1"/>
  <c r="T33" i="4" s="1"/>
  <c r="T34" i="4" a="1"/>
  <c r="T34" i="4" s="1"/>
  <c r="T35" i="4" a="1"/>
  <c r="T35" i="4" s="1"/>
  <c r="T36" i="4" a="1"/>
  <c r="T36" i="4" s="1"/>
  <c r="T37" i="4" a="1"/>
  <c r="T37" i="4" s="1"/>
  <c r="T38" i="4" a="1"/>
  <c r="T38" i="4" s="1"/>
  <c r="T39" i="4" a="1"/>
  <c r="T39" i="4" s="1"/>
  <c r="T40" i="4" a="1"/>
  <c r="T40" i="4" s="1"/>
  <c r="T41" i="4" a="1"/>
  <c r="T41" i="4" s="1"/>
  <c r="T42" i="4" a="1"/>
  <c r="T42" i="4" s="1"/>
  <c r="T43" i="4" a="1"/>
  <c r="T43" i="4" s="1"/>
  <c r="T44" i="4" a="1"/>
  <c r="T44" i="4" s="1"/>
  <c r="T45" i="4" a="1"/>
  <c r="T45" i="4" s="1"/>
  <c r="T46" i="4" a="1"/>
  <c r="T46" i="4" s="1"/>
  <c r="T47" i="4" a="1"/>
  <c r="T47" i="4" s="1"/>
  <c r="T48" i="4" a="1"/>
  <c r="T48" i="4" s="1"/>
  <c r="T49" i="4" a="1"/>
  <c r="T49" i="4" s="1"/>
  <c r="T50" i="4" a="1"/>
  <c r="T50" i="4" s="1"/>
  <c r="T51" i="4" a="1"/>
  <c r="T51" i="4" s="1"/>
  <c r="T52" i="4" a="1"/>
  <c r="T52" i="4" s="1"/>
  <c r="T53" i="4" a="1"/>
  <c r="T53" i="4" s="1"/>
  <c r="T54" i="4" a="1"/>
  <c r="T54" i="4" s="1"/>
  <c r="T55" i="4" a="1"/>
  <c r="T55" i="4" s="1"/>
  <c r="T56" i="4" a="1"/>
  <c r="T56" i="4" s="1"/>
  <c r="T57" i="4" a="1"/>
  <c r="T57" i="4" s="1"/>
  <c r="T58" i="4" a="1"/>
  <c r="T58" i="4" s="1"/>
  <c r="T59" i="4" a="1"/>
  <c r="T59" i="4"/>
  <c r="T60" i="4" a="1"/>
  <c r="T60" i="4" s="1"/>
  <c r="T61" i="4" a="1"/>
  <c r="T61" i="4" s="1"/>
  <c r="T62" i="4" a="1"/>
  <c r="T62" i="4" s="1"/>
  <c r="T63" i="4" a="1"/>
  <c r="T63" i="4" s="1"/>
  <c r="T64" i="4" a="1"/>
  <c r="T64" i="4" s="1"/>
  <c r="W13" i="4"/>
  <c r="L6" i="4"/>
  <c r="L7" i="4"/>
  <c r="L8" i="4"/>
  <c r="L9" i="4"/>
  <c r="L10" i="4"/>
  <c r="T10" i="4" s="1" a="1"/>
  <c r="T10" i="4" s="1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W11" i="4"/>
  <c r="W12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Y11" i="4"/>
  <c r="Y12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X11" i="4"/>
  <c r="X12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A6" i="8"/>
  <c r="B6" i="8"/>
  <c r="G6" i="8"/>
  <c r="I6" i="8"/>
  <c r="L6" i="8"/>
  <c r="T6" i="8"/>
  <c r="V6" i="8" a="1"/>
  <c r="V6" i="8" s="1"/>
  <c r="W6" i="8" s="1"/>
  <c r="AC6" i="8"/>
  <c r="AE6" i="8" a="1"/>
  <c r="AE6" i="8" s="1"/>
  <c r="AF6" i="8" s="1"/>
  <c r="B3" i="17" a="1"/>
  <c r="B3" i="17" s="1"/>
  <c r="C3" i="17" a="1"/>
  <c r="C3" i="17" s="1"/>
  <c r="D3" i="17" a="1"/>
  <c r="D3" i="17" s="1"/>
  <c r="E3" i="17" a="1"/>
  <c r="E3" i="17" s="1"/>
  <c r="F3" i="17" a="1"/>
  <c r="F3" i="17" s="1"/>
  <c r="G3" i="17" a="1"/>
  <c r="G3" i="17" s="1"/>
  <c r="H3" i="17" a="1"/>
  <c r="H3" i="17" s="1"/>
  <c r="I3" i="17" a="1"/>
  <c r="I3" i="17" s="1"/>
  <c r="J3" i="17" a="1"/>
  <c r="J3" i="17" s="1"/>
  <c r="K3" i="17" a="1"/>
  <c r="K3" i="17" s="1"/>
  <c r="L3" i="17" a="1"/>
  <c r="L3" i="17" s="1"/>
  <c r="M3" i="17" a="1"/>
  <c r="M3" i="17" s="1"/>
  <c r="N3" i="17" a="1"/>
  <c r="N3" i="17" s="1"/>
  <c r="O3" i="17" a="1"/>
  <c r="O3" i="17" s="1"/>
  <c r="P3" i="17" a="1"/>
  <c r="P3" i="17" s="1"/>
  <c r="Q3" i="17" a="1"/>
  <c r="Q3" i="17" s="1"/>
  <c r="R3" i="17" a="1"/>
  <c r="R3" i="17" s="1"/>
  <c r="S3" i="17" a="1"/>
  <c r="S3" i="17" s="1"/>
  <c r="T3" i="17" a="1"/>
  <c r="T3" i="17" s="1"/>
  <c r="U3" i="17" a="1"/>
  <c r="U3" i="17" s="1"/>
  <c r="V3" i="17" a="1"/>
  <c r="V3" i="17" s="1"/>
  <c r="W3" i="17" a="1"/>
  <c r="W3" i="17" s="1"/>
  <c r="X3" i="17" a="1"/>
  <c r="X3" i="17" s="1"/>
  <c r="Y3" i="17" a="1"/>
  <c r="Y3" i="17" s="1"/>
  <c r="Z3" i="17" a="1"/>
  <c r="Z3" i="17" s="1"/>
  <c r="AA3" i="17" a="1"/>
  <c r="AA3" i="17" s="1"/>
  <c r="AB3" i="17" a="1"/>
  <c r="AB3" i="17" s="1"/>
  <c r="AC3" i="17" a="1"/>
  <c r="AC3" i="17" s="1"/>
  <c r="AD3" i="17" a="1"/>
  <c r="AD3" i="17" s="1"/>
  <c r="AE3" i="17" a="1"/>
  <c r="AE3" i="17" s="1"/>
  <c r="AF3" i="17" a="1"/>
  <c r="AF3" i="17" s="1"/>
  <c r="AG3" i="17" a="1"/>
  <c r="AG3" i="17" s="1"/>
  <c r="AH3" i="17" a="1"/>
  <c r="AH3" i="17" s="1"/>
  <c r="AI3" i="17" a="1"/>
  <c r="AI3" i="17" s="1"/>
  <c r="AJ3" i="17" a="1"/>
  <c r="AJ3" i="17" s="1"/>
  <c r="AK3" i="17" a="1"/>
  <c r="AK3" i="17" s="1"/>
  <c r="AL3" i="17" a="1"/>
  <c r="AL3" i="17" s="1"/>
  <c r="AM3" i="17" a="1"/>
  <c r="AM3" i="17" s="1"/>
  <c r="AN3" i="17" a="1"/>
  <c r="AN3" i="17" s="1"/>
  <c r="AO3" i="17" a="1"/>
  <c r="AO3" i="17" s="1"/>
  <c r="AP3" i="17" a="1"/>
  <c r="AP3" i="17" s="1"/>
  <c r="AQ3" i="17" a="1"/>
  <c r="AQ3" i="17" s="1"/>
  <c r="AR3" i="17" a="1"/>
  <c r="AR3" i="17" s="1"/>
  <c r="AS3" i="17" a="1"/>
  <c r="AS3" i="17" s="1"/>
  <c r="AT3" i="17" a="1"/>
  <c r="AT3" i="17" s="1"/>
  <c r="AU3" i="17" a="1"/>
  <c r="AU3" i="17" s="1"/>
  <c r="AV3" i="17" a="1"/>
  <c r="AV3" i="17" s="1"/>
  <c r="AW3" i="17" a="1"/>
  <c r="AW3" i="17" s="1"/>
  <c r="AX3" i="17" a="1"/>
  <c r="AX3" i="17" s="1"/>
  <c r="AY3" i="17" a="1"/>
  <c r="AY3" i="17" s="1"/>
  <c r="AZ3" i="17" a="1"/>
  <c r="AZ3" i="17" s="1"/>
  <c r="BA3" i="17" a="1"/>
  <c r="BA3" i="17" s="1"/>
  <c r="BB3" i="17" a="1"/>
  <c r="BB3" i="17" s="1"/>
  <c r="BC3" i="17" a="1"/>
  <c r="BC3" i="17" s="1"/>
  <c r="BD3" i="17" a="1"/>
  <c r="BD3" i="17" s="1"/>
  <c r="BE3" i="17" a="1"/>
  <c r="BE3" i="17" s="1"/>
  <c r="BF3" i="17" a="1"/>
  <c r="BF3" i="17" s="1"/>
  <c r="BG3" i="17" a="1"/>
  <c r="BG3" i="17" s="1"/>
  <c r="BH3" i="17" a="1"/>
  <c r="BH3" i="17" s="1"/>
  <c r="U10" i="4" l="1" a="1"/>
  <c r="U10" i="4" s="1"/>
  <c r="V10" i="4" a="1"/>
  <c r="V10" i="4" s="1"/>
  <c r="K6" i="8"/>
  <c r="N6" i="8" s="1" a="1"/>
  <c r="N6" i="8" s="1"/>
  <c r="O6" i="8" s="1"/>
  <c r="B3" i="16" a="1"/>
  <c r="B3" i="16" s="1"/>
  <c r="C3" i="16" a="1"/>
  <c r="C3" i="16" s="1"/>
  <c r="D3" i="16" a="1"/>
  <c r="D3" i="16" s="1"/>
  <c r="E3" i="16" a="1"/>
  <c r="E3" i="16" s="1"/>
  <c r="F3" i="16" a="1"/>
  <c r="F3" i="16" s="1"/>
  <c r="G3" i="16" a="1"/>
  <c r="G3" i="16" s="1"/>
  <c r="H3" i="16" a="1"/>
  <c r="H3" i="16" s="1"/>
  <c r="I3" i="16" a="1"/>
  <c r="I3" i="16" s="1"/>
  <c r="J3" i="16" a="1"/>
  <c r="J3" i="16" s="1"/>
  <c r="K3" i="16" a="1"/>
  <c r="K3" i="16" s="1"/>
  <c r="L3" i="16" a="1"/>
  <c r="L3" i="16" s="1"/>
  <c r="M3" i="16" a="1"/>
  <c r="M3" i="16" s="1"/>
  <c r="N3" i="16" a="1"/>
  <c r="N3" i="16" s="1"/>
  <c r="O3" i="16" a="1"/>
  <c r="O3" i="16" s="1"/>
  <c r="P3" i="16" a="1"/>
  <c r="P3" i="16" s="1"/>
  <c r="Q3" i="16" a="1"/>
  <c r="Q3" i="16" s="1"/>
  <c r="R3" i="16" a="1"/>
  <c r="R3" i="16" s="1"/>
  <c r="S3" i="16" a="1"/>
  <c r="S3" i="16" s="1"/>
  <c r="T3" i="16" a="1"/>
  <c r="T3" i="16" s="1"/>
  <c r="U3" i="16" a="1"/>
  <c r="U3" i="16" s="1"/>
  <c r="V3" i="16" a="1"/>
  <c r="V3" i="16" s="1"/>
  <c r="W3" i="16" a="1"/>
  <c r="W3" i="16" s="1"/>
  <c r="X3" i="16" a="1"/>
  <c r="X3" i="16" s="1"/>
  <c r="Y3" i="16" a="1"/>
  <c r="Y3" i="16" s="1"/>
  <c r="Z3" i="16" a="1"/>
  <c r="Z3" i="16" s="1"/>
  <c r="AA3" i="16" a="1"/>
  <c r="AA3" i="16" s="1"/>
  <c r="AB3" i="16" a="1"/>
  <c r="AB3" i="16" s="1"/>
  <c r="AC3" i="16" a="1"/>
  <c r="AC3" i="16" s="1"/>
  <c r="AD3" i="16" a="1"/>
  <c r="AD3" i="16" s="1"/>
  <c r="AE3" i="16" a="1"/>
  <c r="AE3" i="16" s="1"/>
  <c r="AF3" i="16" a="1"/>
  <c r="AF3" i="16" s="1"/>
  <c r="AG3" i="16" a="1"/>
  <c r="AG3" i="16" s="1"/>
  <c r="AH3" i="16" a="1"/>
  <c r="AH3" i="16" s="1"/>
  <c r="AI3" i="16" a="1"/>
  <c r="AI3" i="16" s="1"/>
  <c r="AJ3" i="16" a="1"/>
  <c r="AJ3" i="16" s="1"/>
  <c r="AK3" i="16" a="1"/>
  <c r="AK3" i="16" s="1"/>
  <c r="AL3" i="16" a="1"/>
  <c r="AL3" i="16" s="1"/>
  <c r="AM3" i="16" a="1"/>
  <c r="AM3" i="16" s="1"/>
  <c r="AN3" i="16" a="1"/>
  <c r="AN3" i="16" s="1"/>
  <c r="AO3" i="16" a="1"/>
  <c r="AO3" i="16" s="1"/>
  <c r="AP3" i="16" a="1"/>
  <c r="AP3" i="16" s="1"/>
  <c r="AQ3" i="16" a="1"/>
  <c r="AQ3" i="16" s="1"/>
  <c r="AR3" i="16" a="1"/>
  <c r="AR3" i="16" s="1"/>
  <c r="AS3" i="16" a="1"/>
  <c r="AS3" i="16" s="1"/>
  <c r="AT3" i="16" a="1"/>
  <c r="AT3" i="16" s="1"/>
  <c r="AU3" i="16" a="1"/>
  <c r="AU3" i="16" s="1"/>
  <c r="AV3" i="16" a="1"/>
  <c r="AV3" i="16" s="1"/>
  <c r="AW3" i="16" a="1"/>
  <c r="AW3" i="16" s="1"/>
  <c r="AX3" i="16" a="1"/>
  <c r="AX3" i="16" s="1"/>
  <c r="AY3" i="16" a="1"/>
  <c r="AY3" i="16" s="1"/>
  <c r="AZ3" i="16" a="1"/>
  <c r="AZ3" i="16" s="1"/>
  <c r="BA3" i="16" a="1"/>
  <c r="BA3" i="16" s="1"/>
  <c r="BB3" i="16" a="1"/>
  <c r="BB3" i="16" s="1"/>
  <c r="BC3" i="16" a="1"/>
  <c r="BC3" i="16" s="1"/>
  <c r="BD3" i="16" a="1"/>
  <c r="BD3" i="16" s="1"/>
  <c r="BE3" i="16" a="1"/>
  <c r="BE3" i="16" s="1"/>
  <c r="BF3" i="16" a="1"/>
  <c r="BF3" i="16" s="1"/>
  <c r="BG3" i="16" a="1"/>
  <c r="BG3" i="16" s="1"/>
  <c r="BH3" i="16" a="1"/>
  <c r="BH3" i="16" s="1"/>
  <c r="A3" i="16" a="1"/>
  <c r="A3" i="16" s="1"/>
  <c r="B3" i="19" a="1"/>
  <c r="B3" i="19" s="1"/>
  <c r="C3" i="19" a="1"/>
  <c r="C3" i="19" s="1"/>
  <c r="D3" i="19" a="1"/>
  <c r="D3" i="19" s="1"/>
  <c r="E3" i="19" a="1"/>
  <c r="E3" i="19" s="1"/>
  <c r="F3" i="19" a="1"/>
  <c r="F3" i="19" s="1"/>
  <c r="G3" i="19" a="1"/>
  <c r="G3" i="19" s="1"/>
  <c r="H3" i="19" a="1"/>
  <c r="H3" i="19" s="1"/>
  <c r="I3" i="19" a="1"/>
  <c r="I3" i="19" s="1"/>
  <c r="J3" i="19" a="1"/>
  <c r="J3" i="19" s="1"/>
  <c r="K3" i="19" a="1"/>
  <c r="K3" i="19" s="1"/>
  <c r="L3" i="19" a="1"/>
  <c r="L3" i="19" s="1"/>
  <c r="M3" i="19" a="1"/>
  <c r="M3" i="19" s="1"/>
  <c r="N3" i="19" a="1"/>
  <c r="N3" i="19" s="1"/>
  <c r="O3" i="19" a="1"/>
  <c r="O3" i="19" s="1"/>
  <c r="P3" i="19" a="1"/>
  <c r="P3" i="19" s="1"/>
  <c r="Q3" i="19" a="1"/>
  <c r="Q3" i="19" s="1"/>
  <c r="R3" i="19" a="1"/>
  <c r="R3" i="19" s="1"/>
  <c r="S3" i="19" a="1"/>
  <c r="S3" i="19" s="1"/>
  <c r="T3" i="19" a="1"/>
  <c r="T3" i="19" s="1"/>
  <c r="U3" i="19" a="1"/>
  <c r="U3" i="19" s="1"/>
  <c r="V3" i="19" a="1"/>
  <c r="V3" i="19" s="1"/>
  <c r="W3" i="19" a="1"/>
  <c r="W3" i="19" s="1"/>
  <c r="X3" i="19" a="1"/>
  <c r="X3" i="19" s="1"/>
  <c r="Y3" i="19" a="1"/>
  <c r="Y3" i="19" s="1"/>
  <c r="Z3" i="19" a="1"/>
  <c r="Z3" i="19" s="1"/>
  <c r="AA3" i="19" a="1"/>
  <c r="AA3" i="19" s="1"/>
  <c r="AB3" i="19" a="1"/>
  <c r="AB3" i="19" s="1"/>
  <c r="AC3" i="19" a="1"/>
  <c r="AC3" i="19" s="1"/>
  <c r="AD3" i="19" a="1"/>
  <c r="AD3" i="19" s="1"/>
  <c r="AE3" i="19" a="1"/>
  <c r="AE3" i="19" s="1"/>
  <c r="AF3" i="19" a="1"/>
  <c r="AF3" i="19" s="1"/>
  <c r="AG3" i="19" a="1"/>
  <c r="AG3" i="19" s="1"/>
  <c r="AH3" i="19" a="1"/>
  <c r="AH3" i="19" s="1"/>
  <c r="AI3" i="19" a="1"/>
  <c r="AI3" i="19" s="1"/>
  <c r="AJ3" i="19" a="1"/>
  <c r="AJ3" i="19" s="1"/>
  <c r="AK3" i="19" a="1"/>
  <c r="AK3" i="19" s="1"/>
  <c r="AL3" i="19" a="1"/>
  <c r="AL3" i="19" s="1"/>
  <c r="AM3" i="19" a="1"/>
  <c r="AM3" i="19" s="1"/>
  <c r="AN3" i="19" a="1"/>
  <c r="AN3" i="19" s="1"/>
  <c r="AO3" i="19" a="1"/>
  <c r="AO3" i="19" s="1"/>
  <c r="AP3" i="19" a="1"/>
  <c r="AP3" i="19" s="1"/>
  <c r="AQ3" i="19" a="1"/>
  <c r="AQ3" i="19" s="1"/>
  <c r="AR3" i="19" a="1"/>
  <c r="AR3" i="19" s="1"/>
  <c r="AS3" i="19" a="1"/>
  <c r="AS3" i="19" s="1"/>
  <c r="AT3" i="19" a="1"/>
  <c r="AT3" i="19" s="1"/>
  <c r="AU3" i="19" a="1"/>
  <c r="AU3" i="19" s="1"/>
  <c r="AV3" i="19" a="1"/>
  <c r="AV3" i="19" s="1"/>
  <c r="AW3" i="19" a="1"/>
  <c r="AW3" i="19" s="1"/>
  <c r="AX3" i="19" a="1"/>
  <c r="AX3" i="19" s="1"/>
  <c r="AY3" i="19" a="1"/>
  <c r="AY3" i="19" s="1"/>
  <c r="AZ3" i="19" a="1"/>
  <c r="AZ3" i="19" s="1"/>
  <c r="BA3" i="19" a="1"/>
  <c r="BA3" i="19" s="1"/>
  <c r="BB3" i="19" a="1"/>
  <c r="BB3" i="19" s="1"/>
  <c r="BC3" i="19" a="1"/>
  <c r="BC3" i="19" s="1"/>
  <c r="BD3" i="19" a="1"/>
  <c r="BD3" i="19" s="1"/>
  <c r="BE3" i="19" a="1"/>
  <c r="BE3" i="19" s="1"/>
  <c r="BF3" i="19" a="1"/>
  <c r="BF3" i="19" s="1"/>
  <c r="BG3" i="19" a="1"/>
  <c r="BG3" i="19" s="1"/>
  <c r="A3" i="19" a="1"/>
  <c r="A3" i="19" s="1"/>
  <c r="A2" i="19" a="1"/>
  <c r="A2" i="19" s="1"/>
  <c r="I2" i="19"/>
  <c r="J2" i="19"/>
  <c r="K2" i="19"/>
  <c r="L2" i="19"/>
  <c r="M2" i="19"/>
  <c r="N2" i="19"/>
  <c r="O2" i="19"/>
  <c r="P2" i="19"/>
  <c r="Y2" i="19"/>
  <c r="Z2" i="19"/>
  <c r="AA2" i="19"/>
  <c r="AB2" i="19"/>
  <c r="AC2" i="19"/>
  <c r="AD2" i="19"/>
  <c r="AE2" i="19"/>
  <c r="AF2" i="19"/>
  <c r="AO2" i="19"/>
  <c r="AP2" i="19"/>
  <c r="AQ2" i="19"/>
  <c r="AR2" i="19"/>
  <c r="AS2" i="19"/>
  <c r="AT2" i="19"/>
  <c r="AU2" i="19"/>
  <c r="AV2" i="19"/>
  <c r="BE2" i="19"/>
  <c r="BF2" i="19"/>
  <c r="BG2" i="19"/>
  <c r="BH2" i="19"/>
  <c r="Q5" i="5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K20" i="8" s="1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K36" i="8" s="1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K52" i="8" s="1"/>
  <c r="I53" i="8"/>
  <c r="I54" i="8"/>
  <c r="I55" i="8"/>
  <c r="I56" i="8"/>
  <c r="I57" i="8"/>
  <c r="I58" i="8"/>
  <c r="I59" i="8"/>
  <c r="I60" i="8"/>
  <c r="I61" i="8"/>
  <c r="I62" i="8"/>
  <c r="I63" i="8"/>
  <c r="I64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A2" i="17" a="1"/>
  <c r="A2" i="17" s="1"/>
  <c r="A2" i="16" a="1"/>
  <c r="A2" i="16" s="1"/>
  <c r="H2" i="16"/>
  <c r="I2" i="16"/>
  <c r="J2" i="16"/>
  <c r="K2" i="16"/>
  <c r="L2" i="16"/>
  <c r="M2" i="16"/>
  <c r="N2" i="16"/>
  <c r="O2" i="16"/>
  <c r="P2" i="16"/>
  <c r="X2" i="16"/>
  <c r="AE2" i="16"/>
  <c r="AF2" i="16"/>
  <c r="AN2" i="16"/>
  <c r="AO2" i="16"/>
  <c r="AP2" i="16"/>
  <c r="AQ2" i="16"/>
  <c r="AR2" i="16"/>
  <c r="AS2" i="16"/>
  <c r="AT2" i="16"/>
  <c r="AU2" i="16"/>
  <c r="BH3" i="19" a="1"/>
  <c r="BH3" i="19" s="1"/>
  <c r="O4" i="4" l="1"/>
  <c r="Q4" i="4"/>
  <c r="M4" i="4"/>
  <c r="H2" i="19"/>
  <c r="G2" i="19"/>
  <c r="F2" i="19"/>
  <c r="U2" i="19"/>
  <c r="E2" i="19"/>
  <c r="AZ2" i="19"/>
  <c r="AJ2" i="19"/>
  <c r="T2" i="19"/>
  <c r="D2" i="19"/>
  <c r="BD2" i="19"/>
  <c r="BC2" i="19"/>
  <c r="BB2" i="19"/>
  <c r="BA2" i="19"/>
  <c r="AY2" i="19"/>
  <c r="AI2" i="19"/>
  <c r="S2" i="19"/>
  <c r="C2" i="19"/>
  <c r="AN2" i="19"/>
  <c r="AM2" i="19"/>
  <c r="AL2" i="19"/>
  <c r="AK2" i="19"/>
  <c r="AX2" i="19"/>
  <c r="AH2" i="19"/>
  <c r="R2" i="19"/>
  <c r="B2" i="19"/>
  <c r="X2" i="19"/>
  <c r="W2" i="19"/>
  <c r="V2" i="19"/>
  <c r="AW2" i="19"/>
  <c r="AG2" i="19"/>
  <c r="Q2" i="19"/>
  <c r="BG2" i="16"/>
  <c r="AC2" i="16"/>
  <c r="BF2" i="16"/>
  <c r="AB2" i="16"/>
  <c r="BH2" i="16"/>
  <c r="AD2" i="16"/>
  <c r="BE2" i="16"/>
  <c r="AA2" i="16"/>
  <c r="BD2" i="16"/>
  <c r="Z2" i="16"/>
  <c r="AV2" i="16"/>
  <c r="Y2" i="16"/>
  <c r="K45" i="8"/>
  <c r="K46" i="8"/>
  <c r="K34" i="8"/>
  <c r="K18" i="8"/>
  <c r="K33" i="8"/>
  <c r="K62" i="8"/>
  <c r="K30" i="8"/>
  <c r="K14" i="8"/>
  <c r="K61" i="8"/>
  <c r="K29" i="8"/>
  <c r="K13" i="8"/>
  <c r="K49" i="8"/>
  <c r="K17" i="8"/>
  <c r="K63" i="8"/>
  <c r="K47" i="8"/>
  <c r="K31" i="8"/>
  <c r="K15" i="8"/>
  <c r="K51" i="8"/>
  <c r="K35" i="8"/>
  <c r="K19" i="8"/>
  <c r="K50" i="8"/>
  <c r="K64" i="8"/>
  <c r="K48" i="8"/>
  <c r="K32" i="8"/>
  <c r="K16" i="8"/>
  <c r="K44" i="8"/>
  <c r="K12" i="8"/>
  <c r="K59" i="8"/>
  <c r="K60" i="8"/>
  <c r="K28" i="8"/>
  <c r="K43" i="8"/>
  <c r="K58" i="8"/>
  <c r="K27" i="8"/>
  <c r="K26" i="8"/>
  <c r="K11" i="8"/>
  <c r="K42" i="8"/>
  <c r="K10" i="8"/>
  <c r="K57" i="8"/>
  <c r="K41" i="8"/>
  <c r="K25" i="8"/>
  <c r="K9" i="8"/>
  <c r="K56" i="8"/>
  <c r="K40" i="8"/>
  <c r="K24" i="8"/>
  <c r="K8" i="8"/>
  <c r="K55" i="8"/>
  <c r="K39" i="8"/>
  <c r="K23" i="8"/>
  <c r="K54" i="8"/>
  <c r="K38" i="8"/>
  <c r="K22" i="8"/>
  <c r="K7" i="8"/>
  <c r="K53" i="8"/>
  <c r="K37" i="8"/>
  <c r="K21" i="8"/>
  <c r="B7" i="19" a="1"/>
  <c r="B39" i="19" s="1"/>
  <c r="B7" i="16" a="1"/>
  <c r="B57" i="16" s="1"/>
  <c r="AV2" i="17"/>
  <c r="P2" i="17"/>
  <c r="O2" i="17"/>
  <c r="N2" i="17"/>
  <c r="M2" i="17"/>
  <c r="AR2" i="17"/>
  <c r="L2" i="17"/>
  <c r="BG2" i="17"/>
  <c r="AQ2" i="17"/>
  <c r="K2" i="17"/>
  <c r="BF2" i="17"/>
  <c r="AP2" i="17"/>
  <c r="J2" i="17"/>
  <c r="BE2" i="17"/>
  <c r="AO2" i="17"/>
  <c r="Y2" i="17"/>
  <c r="I2" i="17"/>
  <c r="BD2" i="17"/>
  <c r="AN2" i="17"/>
  <c r="X2" i="17"/>
  <c r="H2" i="17"/>
  <c r="BC2" i="17"/>
  <c r="AM2" i="17"/>
  <c r="W2" i="17"/>
  <c r="G2" i="17"/>
  <c r="BB2" i="17"/>
  <c r="AL2" i="17"/>
  <c r="V2" i="17"/>
  <c r="F2" i="17"/>
  <c r="AF2" i="17"/>
  <c r="AU2" i="17"/>
  <c r="AE2" i="17"/>
  <c r="AT2" i="17"/>
  <c r="AD2" i="17"/>
  <c r="AS2" i="17"/>
  <c r="AC2" i="17"/>
  <c r="BH2" i="17"/>
  <c r="AB2" i="17"/>
  <c r="AA2" i="17"/>
  <c r="Z2" i="17"/>
  <c r="BA2" i="17"/>
  <c r="AK2" i="17"/>
  <c r="U2" i="17"/>
  <c r="E2" i="17"/>
  <c r="AZ2" i="17"/>
  <c r="AJ2" i="17"/>
  <c r="T2" i="17"/>
  <c r="D2" i="17"/>
  <c r="AY2" i="17"/>
  <c r="AI2" i="17"/>
  <c r="S2" i="17"/>
  <c r="C2" i="17"/>
  <c r="AX2" i="17"/>
  <c r="AH2" i="17"/>
  <c r="R2" i="17"/>
  <c r="B2" i="17"/>
  <c r="AW2" i="17"/>
  <c r="AG2" i="17"/>
  <c r="Q2" i="17"/>
  <c r="BC2" i="16"/>
  <c r="AM2" i="16"/>
  <c r="W2" i="16"/>
  <c r="G2" i="16"/>
  <c r="BB2" i="16"/>
  <c r="AL2" i="16"/>
  <c r="V2" i="16"/>
  <c r="F2" i="16"/>
  <c r="BA2" i="16"/>
  <c r="E2" i="16"/>
  <c r="AZ2" i="16"/>
  <c r="AJ2" i="16"/>
  <c r="T2" i="16"/>
  <c r="D2" i="16"/>
  <c r="AK2" i="16"/>
  <c r="U2" i="16"/>
  <c r="AY2" i="16"/>
  <c r="AI2" i="16"/>
  <c r="S2" i="16"/>
  <c r="C2" i="16"/>
  <c r="AX2" i="16"/>
  <c r="AH2" i="16"/>
  <c r="R2" i="16"/>
  <c r="B2" i="16"/>
  <c r="AW2" i="16"/>
  <c r="AG2" i="16"/>
  <c r="Q2" i="16"/>
  <c r="Y7" i="4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N20" i="8" s="1" a="1"/>
  <c r="N20" i="8" s="1"/>
  <c r="O20" i="8" s="1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N36" i="8" s="1" a="1"/>
  <c r="N36" i="8" s="1"/>
  <c r="O36" i="8" s="1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N52" i="8" s="1" a="1"/>
  <c r="N52" i="8" s="1"/>
  <c r="O52" i="8" s="1"/>
  <c r="L53" i="8"/>
  <c r="L54" i="8"/>
  <c r="L55" i="8"/>
  <c r="L56" i="8"/>
  <c r="L57" i="8"/>
  <c r="L58" i="8"/>
  <c r="L59" i="8"/>
  <c r="L60" i="8"/>
  <c r="L61" i="8"/>
  <c r="L62" i="8"/>
  <c r="L63" i="8"/>
  <c r="L64" i="8"/>
  <c r="L10" i="18"/>
  <c r="L11" i="18"/>
  <c r="L12" i="18"/>
  <c r="L13" i="18"/>
  <c r="K10" i="18"/>
  <c r="K11" i="18"/>
  <c r="K12" i="18"/>
  <c r="K13" i="18"/>
  <c r="I11" i="18"/>
  <c r="I12" i="18"/>
  <c r="I13" i="18"/>
  <c r="I14" i="18"/>
  <c r="I10" i="18"/>
  <c r="H10" i="18"/>
  <c r="H11" i="18"/>
  <c r="H12" i="18"/>
  <c r="H13" i="18"/>
  <c r="H14" i="18"/>
  <c r="Y10" i="4"/>
  <c r="Y13" i="4"/>
  <c r="A53" i="8"/>
  <c r="T53" i="8"/>
  <c r="V53" i="8" a="1"/>
  <c r="V53" i="8" s="1"/>
  <c r="W53" i="8" s="1"/>
  <c r="AC53" i="8"/>
  <c r="AE53" i="8" a="1"/>
  <c r="AE53" i="8" s="1"/>
  <c r="AF53" i="8" s="1"/>
  <c r="A54" i="8"/>
  <c r="T54" i="8"/>
  <c r="V54" i="8" a="1"/>
  <c r="V54" i="8" s="1"/>
  <c r="W54" i="8" s="1"/>
  <c r="AC54" i="8"/>
  <c r="AE54" i="8" a="1"/>
  <c r="AE54" i="8" s="1"/>
  <c r="AF54" i="8" s="1"/>
  <c r="A55" i="8"/>
  <c r="T55" i="8"/>
  <c r="V55" i="8" a="1"/>
  <c r="V55" i="8" s="1"/>
  <c r="W55" i="8" s="1"/>
  <c r="AC55" i="8"/>
  <c r="AE55" i="8" a="1"/>
  <c r="AE55" i="8" s="1"/>
  <c r="AF55" i="8" s="1"/>
  <c r="A56" i="8"/>
  <c r="T56" i="8"/>
  <c r="V56" i="8" a="1"/>
  <c r="V56" i="8" s="1"/>
  <c r="W56" i="8" s="1"/>
  <c r="AC56" i="8"/>
  <c r="AE56" i="8" a="1"/>
  <c r="AE56" i="8"/>
  <c r="AF56" i="8"/>
  <c r="A57" i="8"/>
  <c r="T57" i="8"/>
  <c r="V57" i="8" a="1"/>
  <c r="V57" i="8" s="1"/>
  <c r="W57" i="8" s="1"/>
  <c r="AC57" i="8"/>
  <c r="AE57" i="8" a="1"/>
  <c r="AE57" i="8" s="1"/>
  <c r="AF57" i="8" s="1"/>
  <c r="A58" i="8"/>
  <c r="T58" i="8"/>
  <c r="V58" i="8" a="1"/>
  <c r="V58" i="8" s="1"/>
  <c r="W58" i="8" s="1"/>
  <c r="AC58" i="8"/>
  <c r="AE58" i="8" a="1"/>
  <c r="AE58" i="8" s="1"/>
  <c r="AF58" i="8" s="1"/>
  <c r="A59" i="8"/>
  <c r="T59" i="8"/>
  <c r="V59" i="8" a="1"/>
  <c r="V59" i="8" s="1"/>
  <c r="W59" i="8" s="1"/>
  <c r="AC59" i="8"/>
  <c r="AE59" i="8" a="1"/>
  <c r="AE59" i="8" s="1"/>
  <c r="AF59" i="8"/>
  <c r="A60" i="8"/>
  <c r="T60" i="8"/>
  <c r="V60" i="8" a="1"/>
  <c r="V60" i="8" s="1"/>
  <c r="W60" i="8" s="1"/>
  <c r="AC60" i="8"/>
  <c r="AE60" i="8" a="1"/>
  <c r="AE60" i="8" s="1"/>
  <c r="AF60" i="8" s="1"/>
  <c r="A61" i="8"/>
  <c r="T61" i="8"/>
  <c r="V61" i="8" a="1"/>
  <c r="V61" i="8" s="1"/>
  <c r="W61" i="8" s="1"/>
  <c r="AC61" i="8"/>
  <c r="AE61" i="8" a="1"/>
  <c r="AE61" i="8" s="1"/>
  <c r="AF61" i="8" s="1"/>
  <c r="A62" i="8"/>
  <c r="T62" i="8"/>
  <c r="V62" i="8" a="1"/>
  <c r="V62" i="8" s="1"/>
  <c r="W62" i="8" s="1"/>
  <c r="AC62" i="8"/>
  <c r="AE62" i="8" a="1"/>
  <c r="AE62" i="8"/>
  <c r="AF62" i="8" s="1"/>
  <c r="A63" i="8"/>
  <c r="T63" i="8"/>
  <c r="V63" i="8" a="1"/>
  <c r="V63" i="8" s="1"/>
  <c r="W63" i="8" s="1"/>
  <c r="AC63" i="8"/>
  <c r="AE63" i="8" a="1"/>
  <c r="AE63" i="8"/>
  <c r="AF63" i="8" s="1"/>
  <c r="A64" i="8"/>
  <c r="T64" i="8"/>
  <c r="V64" i="8" a="1"/>
  <c r="V64" i="8" s="1"/>
  <c r="W64" i="8" s="1"/>
  <c r="AC64" i="8"/>
  <c r="AE64" i="8" a="1"/>
  <c r="AE64" i="8"/>
  <c r="AF64" i="8" s="1"/>
  <c r="Q6" i="5"/>
  <c r="Q7" i="5"/>
  <c r="Q8" i="5"/>
  <c r="Q9" i="5"/>
  <c r="Q10" i="5"/>
  <c r="Q11" i="5"/>
  <c r="G4" i="6"/>
  <c r="E4" i="6"/>
  <c r="X13" i="4" l="1"/>
  <c r="W10" i="4"/>
  <c r="X10" i="4"/>
  <c r="N51" i="8" a="1"/>
  <c r="N51" i="8" s="1"/>
  <c r="O51" i="8" s="1"/>
  <c r="N39" i="8" a="1"/>
  <c r="N39" i="8" s="1"/>
  <c r="O39" i="8" s="1"/>
  <c r="Y9" i="4"/>
  <c r="N35" i="8" a="1"/>
  <c r="N35" i="8" s="1"/>
  <c r="O35" i="8" s="1"/>
  <c r="N15" i="8" a="1"/>
  <c r="N15" i="8" s="1"/>
  <c r="O15" i="8" s="1"/>
  <c r="N46" i="8" a="1"/>
  <c r="N46" i="8" s="1"/>
  <c r="O46" i="8" s="1"/>
  <c r="N45" i="8" a="1"/>
  <c r="N45" i="8" s="1"/>
  <c r="O45" i="8" s="1"/>
  <c r="N26" i="8" a="1"/>
  <c r="N26" i="8" s="1"/>
  <c r="O26" i="8" s="1"/>
  <c r="N34" i="8" a="1"/>
  <c r="N34" i="8" s="1"/>
  <c r="O34" i="8" s="1"/>
  <c r="N11" i="8" a="1"/>
  <c r="N11" i="8" s="1"/>
  <c r="O11" i="8" s="1"/>
  <c r="N63" i="8" a="1"/>
  <c r="N63" i="8" s="1"/>
  <c r="O63" i="8" s="1"/>
  <c r="N62" i="8" a="1"/>
  <c r="N62" i="8" s="1"/>
  <c r="O62" i="8" s="1"/>
  <c r="N30" i="8" a="1"/>
  <c r="N30" i="8" s="1"/>
  <c r="O30" i="8" s="1"/>
  <c r="N14" i="8" a="1"/>
  <c r="N14" i="8" s="1"/>
  <c r="O14" i="8" s="1"/>
  <c r="N61" i="8" a="1"/>
  <c r="N61" i="8" s="1"/>
  <c r="O61" i="8" s="1"/>
  <c r="N29" i="8" a="1"/>
  <c r="N29" i="8" s="1"/>
  <c r="O29" i="8" s="1"/>
  <c r="N13" i="8" a="1"/>
  <c r="N13" i="8" s="1"/>
  <c r="O13" i="8" s="1"/>
  <c r="N47" i="8" a="1"/>
  <c r="N47" i="8" s="1"/>
  <c r="O47" i="8" s="1"/>
  <c r="N44" i="8" a="1"/>
  <c r="N44" i="8" s="1"/>
  <c r="O44" i="8" s="1"/>
  <c r="A7" i="17" a="1"/>
  <c r="A18" i="17" s="1"/>
  <c r="A7" i="17"/>
  <c r="A16" i="17"/>
  <c r="A8" i="17"/>
  <c r="A32" i="17"/>
  <c r="A52" i="17"/>
  <c r="A17" i="17"/>
  <c r="A37" i="17"/>
  <c r="A61" i="17"/>
  <c r="A66" i="17"/>
  <c r="A47" i="17"/>
  <c r="A28" i="17"/>
  <c r="A30" i="17"/>
  <c r="A51" i="17"/>
  <c r="A46" i="17"/>
  <c r="A63" i="17"/>
  <c r="A49" i="17"/>
  <c r="A50" i="17"/>
  <c r="A13" i="17"/>
  <c r="A33" i="17"/>
  <c r="A53" i="17"/>
  <c r="A14" i="17"/>
  <c r="A34" i="17"/>
  <c r="A54" i="17"/>
  <c r="A15" i="17"/>
  <c r="A57" i="17"/>
  <c r="A25" i="17"/>
  <c r="A9" i="17"/>
  <c r="A23" i="17"/>
  <c r="A27" i="17"/>
  <c r="A11" i="17"/>
  <c r="A58" i="17"/>
  <c r="A42" i="17"/>
  <c r="N12" i="8" a="1"/>
  <c r="N12" i="8" s="1"/>
  <c r="O12" i="8" s="1"/>
  <c r="N8" i="8" a="1"/>
  <c r="N8" i="8" s="1"/>
  <c r="O8" i="8" s="1"/>
  <c r="N40" i="8" a="1"/>
  <c r="N40" i="8" s="1"/>
  <c r="O40" i="8" s="1"/>
  <c r="N55" i="8" a="1"/>
  <c r="N55" i="8" s="1"/>
  <c r="O55" i="8" s="1"/>
  <c r="N24" i="8" a="1"/>
  <c r="N24" i="8" s="1"/>
  <c r="O24" i="8" s="1"/>
  <c r="N56" i="8" a="1"/>
  <c r="N56" i="8" s="1"/>
  <c r="O56" i="8" s="1"/>
  <c r="A7" i="16" a="1"/>
  <c r="A8" i="16" s="1"/>
  <c r="A7" i="19" a="1"/>
  <c r="N31" i="8" a="1"/>
  <c r="N31" i="8" s="1"/>
  <c r="O31" i="8" s="1"/>
  <c r="N59" i="8" a="1"/>
  <c r="N59" i="8" s="1"/>
  <c r="O59" i="8" s="1"/>
  <c r="N19" i="8" a="1"/>
  <c r="N19" i="8" s="1"/>
  <c r="O19" i="8" s="1"/>
  <c r="N50" i="8" a="1"/>
  <c r="N50" i="8" s="1"/>
  <c r="O50" i="8" s="1"/>
  <c r="N18" i="8" a="1"/>
  <c r="N18" i="8" s="1"/>
  <c r="O18" i="8" s="1"/>
  <c r="N60" i="8" a="1"/>
  <c r="N60" i="8" s="1"/>
  <c r="O60" i="8" s="1"/>
  <c r="N28" i="8" a="1"/>
  <c r="N28" i="8" s="1"/>
  <c r="O28" i="8" s="1"/>
  <c r="N43" i="8" a="1"/>
  <c r="N43" i="8" s="1"/>
  <c r="O43" i="8" s="1"/>
  <c r="N22" i="8" a="1"/>
  <c r="N22" i="8" s="1"/>
  <c r="O22" i="8" s="1"/>
  <c r="N49" i="8" a="1"/>
  <c r="N49" i="8" s="1"/>
  <c r="O49" i="8" s="1"/>
  <c r="N33" i="8" a="1"/>
  <c r="N33" i="8" s="1"/>
  <c r="O33" i="8" s="1"/>
  <c r="N17" i="8" a="1"/>
  <c r="N17" i="8" s="1"/>
  <c r="O17" i="8" s="1"/>
  <c r="N27" i="8" a="1"/>
  <c r="N27" i="8" s="1"/>
  <c r="O27" i="8" s="1"/>
  <c r="N9" i="8" a="1"/>
  <c r="N9" i="8" s="1"/>
  <c r="O9" i="8" s="1"/>
  <c r="N25" i="8" a="1"/>
  <c r="N25" i="8" s="1"/>
  <c r="O25" i="8" s="1"/>
  <c r="N41" i="8" a="1"/>
  <c r="N41" i="8" s="1"/>
  <c r="O41" i="8" s="1"/>
  <c r="N57" i="8" a="1"/>
  <c r="N57" i="8" s="1"/>
  <c r="O57" i="8" s="1"/>
  <c r="N7" i="8" a="1"/>
  <c r="N7" i="8" s="1"/>
  <c r="O7" i="8" s="1"/>
  <c r="N42" i="8" a="1"/>
  <c r="N42" i="8" s="1"/>
  <c r="O42" i="8" s="1"/>
  <c r="N64" i="8" a="1"/>
  <c r="N64" i="8" s="1"/>
  <c r="O64" i="8" s="1"/>
  <c r="N48" i="8" a="1"/>
  <c r="N48" i="8" s="1"/>
  <c r="O48" i="8" s="1"/>
  <c r="N32" i="8" a="1"/>
  <c r="N32" i="8" s="1"/>
  <c r="O32" i="8" s="1"/>
  <c r="N16" i="8" a="1"/>
  <c r="N16" i="8" s="1"/>
  <c r="O16" i="8" s="1"/>
  <c r="N23" i="8" a="1"/>
  <c r="N23" i="8" s="1"/>
  <c r="O23" i="8" s="1"/>
  <c r="N58" i="8" a="1"/>
  <c r="N58" i="8" s="1"/>
  <c r="O58" i="8" s="1"/>
  <c r="N10" i="8" a="1"/>
  <c r="N10" i="8" s="1"/>
  <c r="O10" i="8" s="1"/>
  <c r="N21" i="8" a="1"/>
  <c r="N21" i="8" s="1"/>
  <c r="O21" i="8" s="1"/>
  <c r="N37" i="8" a="1"/>
  <c r="N37" i="8" s="1"/>
  <c r="O37" i="8" s="1"/>
  <c r="N53" i="8" a="1"/>
  <c r="N53" i="8" s="1"/>
  <c r="O53" i="8" s="1"/>
  <c r="B23" i="19"/>
  <c r="B8" i="19"/>
  <c r="B24" i="19"/>
  <c r="B56" i="19"/>
  <c r="B27" i="16"/>
  <c r="N38" i="8" a="1"/>
  <c r="N38" i="8" s="1"/>
  <c r="O38" i="8" s="1"/>
  <c r="B43" i="16"/>
  <c r="N54" i="8" a="1"/>
  <c r="N54" i="8" s="1"/>
  <c r="O54" i="8" s="1"/>
  <c r="B59" i="16"/>
  <c r="B40" i="16"/>
  <c r="B56" i="16"/>
  <c r="B9" i="16"/>
  <c r="B40" i="19"/>
  <c r="B42" i="16"/>
  <c r="B23" i="16"/>
  <c r="B39" i="16"/>
  <c r="B55" i="16"/>
  <c r="B8" i="16"/>
  <c r="B24" i="16"/>
  <c r="B58" i="16"/>
  <c r="B41" i="16"/>
  <c r="B10" i="16"/>
  <c r="B25" i="16"/>
  <c r="B55" i="19"/>
  <c r="B26" i="16"/>
  <c r="B7" i="16"/>
  <c r="B28" i="16"/>
  <c r="B49" i="16"/>
  <c r="B30" i="16"/>
  <c r="B51" i="16"/>
  <c r="B31" i="16"/>
  <c r="B52" i="16"/>
  <c r="B32" i="16"/>
  <c r="B53" i="16"/>
  <c r="B16" i="16"/>
  <c r="B37" i="16"/>
  <c r="B63" i="16"/>
  <c r="B38" i="16"/>
  <c r="B47" i="16"/>
  <c r="B29" i="16"/>
  <c r="B50" i="16"/>
  <c r="B14" i="16"/>
  <c r="B35" i="16"/>
  <c r="B61" i="16"/>
  <c r="B17" i="16"/>
  <c r="B64" i="16"/>
  <c r="B19" i="16"/>
  <c r="B45" i="16"/>
  <c r="B66" i="16"/>
  <c r="B20" i="16"/>
  <c r="B22" i="16"/>
  <c r="B48" i="16"/>
  <c r="B12" i="16"/>
  <c r="B33" i="16"/>
  <c r="B54" i="16"/>
  <c r="B13" i="16"/>
  <c r="B34" i="16"/>
  <c r="B60" i="16"/>
  <c r="B15" i="16"/>
  <c r="B36" i="16"/>
  <c r="B62" i="16"/>
  <c r="B18" i="16"/>
  <c r="B44" i="16"/>
  <c r="B65" i="16"/>
  <c r="B46" i="16"/>
  <c r="B21" i="16"/>
  <c r="B11" i="16"/>
  <c r="B7" i="19"/>
  <c r="B14" i="19"/>
  <c r="B32" i="19"/>
  <c r="B50" i="19"/>
  <c r="B17" i="19"/>
  <c r="B35" i="19"/>
  <c r="B53" i="19"/>
  <c r="B61" i="19"/>
  <c r="B13" i="19"/>
  <c r="B31" i="19"/>
  <c r="B49" i="19"/>
  <c r="B15" i="19"/>
  <c r="B33" i="19"/>
  <c r="B51" i="19"/>
  <c r="B16" i="19"/>
  <c r="B34" i="19"/>
  <c r="B52" i="19"/>
  <c r="B18" i="19"/>
  <c r="B36" i="19"/>
  <c r="B54" i="19"/>
  <c r="B22" i="19"/>
  <c r="B42" i="19"/>
  <c r="B60" i="19"/>
  <c r="B43" i="19"/>
  <c r="B26" i="19"/>
  <c r="B44" i="19"/>
  <c r="B62" i="19"/>
  <c r="B12" i="19"/>
  <c r="B30" i="19"/>
  <c r="B48" i="19"/>
  <c r="B66" i="19"/>
  <c r="B19" i="19"/>
  <c r="B37" i="19"/>
  <c r="B57" i="19"/>
  <c r="B20" i="19"/>
  <c r="B38" i="19"/>
  <c r="B58" i="19"/>
  <c r="B21" i="19"/>
  <c r="B41" i="19"/>
  <c r="B59" i="19"/>
  <c r="B25" i="19"/>
  <c r="B9" i="19"/>
  <c r="B27" i="19"/>
  <c r="B45" i="19"/>
  <c r="B63" i="19"/>
  <c r="B10" i="19"/>
  <c r="B28" i="19"/>
  <c r="B46" i="19"/>
  <c r="B64" i="19"/>
  <c r="B11" i="19"/>
  <c r="B29" i="19"/>
  <c r="B47" i="19"/>
  <c r="B65" i="19"/>
  <c r="Y6" i="4"/>
  <c r="Y8" i="4"/>
  <c r="H4" i="6"/>
  <c r="G5" i="6"/>
  <c r="H5" i="6" s="1"/>
  <c r="G6" i="6"/>
  <c r="H6" i="6" s="1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G29" i="6"/>
  <c r="H29" i="6" s="1"/>
  <c r="G30" i="6"/>
  <c r="H30" i="6" s="1"/>
  <c r="G31" i="6"/>
  <c r="H31" i="6" s="1"/>
  <c r="G32" i="6"/>
  <c r="H32" i="6" s="1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H45" i="6" s="1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G53" i="6"/>
  <c r="H53" i="6" s="1"/>
  <c r="G54" i="6"/>
  <c r="H54" i="6" s="1"/>
  <c r="G55" i="6"/>
  <c r="H55" i="6" s="1"/>
  <c r="G56" i="6"/>
  <c r="H56" i="6" s="1"/>
  <c r="G57" i="6"/>
  <c r="H57" i="6" s="1"/>
  <c r="G58" i="6"/>
  <c r="H58" i="6" s="1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H85" i="6" s="1"/>
  <c r="G86" i="6"/>
  <c r="H86" i="6" s="1"/>
  <c r="G87" i="6"/>
  <c r="H87" i="6" s="1"/>
  <c r="G88" i="6"/>
  <c r="G89" i="6"/>
  <c r="H89" i="6" s="1"/>
  <c r="G90" i="6"/>
  <c r="H90" i="6" s="1"/>
  <c r="G91" i="6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F4" i="6"/>
  <c r="E5" i="6"/>
  <c r="F5" i="6" s="1"/>
  <c r="E6" i="6"/>
  <c r="E7" i="6"/>
  <c r="F7" i="6" s="1"/>
  <c r="E8" i="6"/>
  <c r="F8" i="6" s="1"/>
  <c r="E9" i="6"/>
  <c r="F9" i="6" s="1"/>
  <c r="E10" i="6"/>
  <c r="F10" i="6" s="1"/>
  <c r="E11" i="6"/>
  <c r="F11" i="6" s="1"/>
  <c r="E12" i="6"/>
  <c r="F12" i="6" s="1"/>
  <c r="E13" i="6"/>
  <c r="F13" i="6" s="1"/>
  <c r="E14" i="6"/>
  <c r="F14" i="6" s="1"/>
  <c r="E15" i="6"/>
  <c r="F15" i="6" s="1"/>
  <c r="E16" i="6"/>
  <c r="F16" i="6" s="1"/>
  <c r="E17" i="6"/>
  <c r="F17" i="6" s="1"/>
  <c r="E18" i="6"/>
  <c r="F18" i="6" s="1"/>
  <c r="E19" i="6"/>
  <c r="F19" i="6" s="1"/>
  <c r="E20" i="6"/>
  <c r="F20" i="6" s="1"/>
  <c r="E21" i="6"/>
  <c r="F21" i="6" s="1"/>
  <c r="E22" i="6"/>
  <c r="F22" i="6" s="1"/>
  <c r="E23" i="6"/>
  <c r="F23" i="6" s="1"/>
  <c r="E24" i="6"/>
  <c r="F24" i="6" s="1"/>
  <c r="E25" i="6"/>
  <c r="F25" i="6" s="1"/>
  <c r="E26" i="6"/>
  <c r="F26" i="6" s="1"/>
  <c r="E27" i="6"/>
  <c r="F27" i="6" s="1"/>
  <c r="E28" i="6"/>
  <c r="E29" i="6"/>
  <c r="F29" i="6" s="1"/>
  <c r="E30" i="6"/>
  <c r="F30" i="6" s="1"/>
  <c r="E31" i="6"/>
  <c r="F31" i="6" s="1"/>
  <c r="E32" i="6"/>
  <c r="F32" i="6" s="1"/>
  <c r="E33" i="6"/>
  <c r="F33" i="6" s="1"/>
  <c r="E34" i="6"/>
  <c r="F34" i="6" s="1"/>
  <c r="E35" i="6"/>
  <c r="F35" i="6" s="1"/>
  <c r="E36" i="6"/>
  <c r="F36" i="6" s="1"/>
  <c r="E37" i="6"/>
  <c r="F37" i="6" s="1"/>
  <c r="E38" i="6"/>
  <c r="F38" i="6" s="1"/>
  <c r="E39" i="6"/>
  <c r="F39" i="6" s="1"/>
  <c r="E40" i="6"/>
  <c r="F40" i="6" s="1"/>
  <c r="E41" i="6"/>
  <c r="F41" i="6" s="1"/>
  <c r="E42" i="6"/>
  <c r="F42" i="6" s="1"/>
  <c r="E43" i="6"/>
  <c r="F43" i="6" s="1"/>
  <c r="E44" i="6"/>
  <c r="F44" i="6" s="1"/>
  <c r="E45" i="6"/>
  <c r="F45" i="6" s="1"/>
  <c r="E46" i="6"/>
  <c r="F46" i="6" s="1"/>
  <c r="E47" i="6"/>
  <c r="F47" i="6" s="1"/>
  <c r="E48" i="6"/>
  <c r="F48" i="6" s="1"/>
  <c r="E49" i="6"/>
  <c r="F49" i="6" s="1"/>
  <c r="E50" i="6"/>
  <c r="F50" i="6" s="1"/>
  <c r="E51" i="6"/>
  <c r="F51" i="6" s="1"/>
  <c r="E52" i="6"/>
  <c r="E53" i="6"/>
  <c r="F53" i="6" s="1"/>
  <c r="E54" i="6"/>
  <c r="F54" i="6" s="1"/>
  <c r="E55" i="6"/>
  <c r="F55" i="6" s="1"/>
  <c r="E56" i="6"/>
  <c r="F56" i="6" s="1"/>
  <c r="E57" i="6"/>
  <c r="F57" i="6" s="1"/>
  <c r="E58" i="6"/>
  <c r="F58" i="6" s="1"/>
  <c r="E59" i="6"/>
  <c r="F59" i="6" s="1"/>
  <c r="E60" i="6"/>
  <c r="F60" i="6" s="1"/>
  <c r="E61" i="6"/>
  <c r="F61" i="6" s="1"/>
  <c r="E62" i="6"/>
  <c r="F62" i="6" s="1"/>
  <c r="E63" i="6"/>
  <c r="F63" i="6" s="1"/>
  <c r="E64" i="6"/>
  <c r="F64" i="6" s="1"/>
  <c r="E65" i="6"/>
  <c r="F65" i="6" s="1"/>
  <c r="E66" i="6"/>
  <c r="F66" i="6" s="1"/>
  <c r="E67" i="6"/>
  <c r="F67" i="6" s="1"/>
  <c r="E68" i="6"/>
  <c r="F68" i="6" s="1"/>
  <c r="E69" i="6"/>
  <c r="F69" i="6" s="1"/>
  <c r="E70" i="6"/>
  <c r="F70" i="6" s="1"/>
  <c r="E71" i="6"/>
  <c r="E72" i="6"/>
  <c r="F72" i="6" s="1"/>
  <c r="E73" i="6"/>
  <c r="F73" i="6" s="1"/>
  <c r="E74" i="6"/>
  <c r="F74" i="6" s="1"/>
  <c r="E75" i="6"/>
  <c r="F75" i="6" s="1"/>
  <c r="E76" i="6"/>
  <c r="F76" i="6" s="1"/>
  <c r="E77" i="6"/>
  <c r="E78" i="6"/>
  <c r="F78" i="6" s="1"/>
  <c r="E79" i="6"/>
  <c r="F79" i="6" s="1"/>
  <c r="E80" i="6"/>
  <c r="F80" i="6" s="1"/>
  <c r="E81" i="6"/>
  <c r="F81" i="6" s="1"/>
  <c r="E82" i="6"/>
  <c r="F82" i="6" s="1"/>
  <c r="E83" i="6"/>
  <c r="F83" i="6" s="1"/>
  <c r="E84" i="6"/>
  <c r="F84" i="6" s="1"/>
  <c r="E85" i="6"/>
  <c r="F85" i="6" s="1"/>
  <c r="E86" i="6"/>
  <c r="F86" i="6" s="1"/>
  <c r="E87" i="6"/>
  <c r="F87" i="6" s="1"/>
  <c r="E88" i="6"/>
  <c r="E89" i="6"/>
  <c r="F89" i="6" s="1"/>
  <c r="E90" i="6"/>
  <c r="F90" i="6" s="1"/>
  <c r="E91" i="6"/>
  <c r="E92" i="6"/>
  <c r="F92" i="6" s="1"/>
  <c r="E93" i="6"/>
  <c r="F93" i="6" s="1"/>
  <c r="E94" i="6"/>
  <c r="F94" i="6" s="1"/>
  <c r="E95" i="6"/>
  <c r="F95" i="6" s="1"/>
  <c r="E96" i="6"/>
  <c r="F96" i="6" s="1"/>
  <c r="E97" i="6"/>
  <c r="F97" i="6" s="1"/>
  <c r="E98" i="6"/>
  <c r="F98" i="6" s="1"/>
  <c r="E99" i="6"/>
  <c r="F99" i="6" s="1"/>
  <c r="E100" i="6"/>
  <c r="F100" i="6" s="1"/>
  <c r="E101" i="6"/>
  <c r="F101" i="6" s="1"/>
  <c r="E102" i="6"/>
  <c r="F102" i="6" s="1"/>
  <c r="E103" i="6"/>
  <c r="F103" i="6" s="1"/>
  <c r="A3" i="17" a="1"/>
  <c r="A3" i="17" s="1"/>
  <c r="AE52" i="8" a="1"/>
  <c r="AE52" i="8" s="1"/>
  <c r="AF52" i="8" s="1"/>
  <c r="AC52" i="8"/>
  <c r="V52" i="8" a="1"/>
  <c r="V52" i="8" s="1"/>
  <c r="W52" i="8" s="1"/>
  <c r="T52" i="8"/>
  <c r="A52" i="8"/>
  <c r="AE51" i="8" a="1"/>
  <c r="AE51" i="8" s="1"/>
  <c r="AF51" i="8" s="1"/>
  <c r="AC51" i="8"/>
  <c r="T51" i="8"/>
  <c r="V51" i="8" a="1"/>
  <c r="V51" i="8" s="1"/>
  <c r="W51" i="8" s="1"/>
  <c r="A51" i="8"/>
  <c r="AE50" i="8" a="1"/>
  <c r="AE50" i="8" s="1"/>
  <c r="AF50" i="8" s="1"/>
  <c r="AC50" i="8"/>
  <c r="V50" i="8" a="1"/>
  <c r="V50" i="8" s="1"/>
  <c r="W50" i="8" s="1"/>
  <c r="T50" i="8"/>
  <c r="A50" i="8"/>
  <c r="AE49" i="8" a="1"/>
  <c r="AE49" i="8" s="1"/>
  <c r="AF49" i="8" s="1"/>
  <c r="AC49" i="8"/>
  <c r="V49" i="8" a="1"/>
  <c r="V49" i="8" s="1"/>
  <c r="W49" i="8" s="1"/>
  <c r="T49" i="8"/>
  <c r="A49" i="8"/>
  <c r="AE48" i="8" a="1"/>
  <c r="AE48" i="8" s="1"/>
  <c r="AF48" i="8" s="1"/>
  <c r="AC48" i="8"/>
  <c r="V48" i="8" a="1"/>
  <c r="V48" i="8" s="1"/>
  <c r="W48" i="8" s="1"/>
  <c r="T48" i="8"/>
  <c r="A48" i="8"/>
  <c r="AE47" i="8" a="1"/>
  <c r="AE47" i="8" s="1"/>
  <c r="AF47" i="8" s="1"/>
  <c r="AC47" i="8"/>
  <c r="V47" i="8" a="1"/>
  <c r="V47" i="8" s="1"/>
  <c r="W47" i="8" s="1"/>
  <c r="T47" i="8"/>
  <c r="A47" i="8"/>
  <c r="AE46" i="8" a="1"/>
  <c r="AE46" i="8" s="1"/>
  <c r="AF46" i="8" s="1"/>
  <c r="AC46" i="8"/>
  <c r="V46" i="8" a="1"/>
  <c r="V46" i="8" s="1"/>
  <c r="W46" i="8" s="1"/>
  <c r="T46" i="8"/>
  <c r="A46" i="8"/>
  <c r="AE45" i="8" a="1"/>
  <c r="AE45" i="8" s="1"/>
  <c r="AF45" i="8" s="1"/>
  <c r="AC45" i="8"/>
  <c r="V45" i="8" a="1"/>
  <c r="V45" i="8" s="1"/>
  <c r="W45" i="8" s="1"/>
  <c r="T45" i="8"/>
  <c r="A45" i="8"/>
  <c r="AE44" i="8" a="1"/>
  <c r="AE44" i="8" s="1"/>
  <c r="AF44" i="8" s="1"/>
  <c r="AC44" i="8"/>
  <c r="V44" i="8" a="1"/>
  <c r="V44" i="8" s="1"/>
  <c r="W44" i="8" s="1"/>
  <c r="T44" i="8"/>
  <c r="A44" i="8"/>
  <c r="AE43" i="8" a="1"/>
  <c r="AE43" i="8" s="1"/>
  <c r="AF43" i="8" s="1"/>
  <c r="AC43" i="8"/>
  <c r="V43" i="8" a="1"/>
  <c r="V43" i="8" s="1"/>
  <c r="W43" i="8" s="1"/>
  <c r="T43" i="8"/>
  <c r="A43" i="8"/>
  <c r="AE42" i="8" a="1"/>
  <c r="AE42" i="8" s="1"/>
  <c r="AF42" i="8" s="1"/>
  <c r="AC42" i="8"/>
  <c r="V42" i="8" a="1"/>
  <c r="V42" i="8" s="1"/>
  <c r="W42" i="8" s="1"/>
  <c r="T42" i="8"/>
  <c r="A42" i="8"/>
  <c r="AE41" i="8" a="1"/>
  <c r="AE41" i="8" s="1"/>
  <c r="AF41" i="8" s="1"/>
  <c r="AC41" i="8"/>
  <c r="V41" i="8" a="1"/>
  <c r="V41" i="8" s="1"/>
  <c r="W41" i="8" s="1"/>
  <c r="T41" i="8"/>
  <c r="A41" i="8"/>
  <c r="AE40" i="8" a="1"/>
  <c r="AE40" i="8" s="1"/>
  <c r="AF40" i="8" s="1"/>
  <c r="AC40" i="8"/>
  <c r="V40" i="8" a="1"/>
  <c r="V40" i="8" s="1"/>
  <c r="W40" i="8" s="1"/>
  <c r="T40" i="8"/>
  <c r="A40" i="8"/>
  <c r="AE39" i="8" a="1"/>
  <c r="AE39" i="8" s="1"/>
  <c r="AF39" i="8" s="1"/>
  <c r="AC39" i="8"/>
  <c r="V39" i="8" a="1"/>
  <c r="V39" i="8" s="1"/>
  <c r="W39" i="8" s="1"/>
  <c r="T39" i="8"/>
  <c r="A39" i="8"/>
  <c r="AE38" i="8" a="1"/>
  <c r="AE38" i="8" s="1"/>
  <c r="AF38" i="8" s="1"/>
  <c r="AC38" i="8"/>
  <c r="V38" i="8" a="1"/>
  <c r="V38" i="8" s="1"/>
  <c r="W38" i="8" s="1"/>
  <c r="T38" i="8"/>
  <c r="A38" i="8"/>
  <c r="AE37" i="8" a="1"/>
  <c r="AE37" i="8" s="1"/>
  <c r="AF37" i="8" s="1"/>
  <c r="AC37" i="8"/>
  <c r="V37" i="8" a="1"/>
  <c r="V37" i="8" s="1"/>
  <c r="W37" i="8" s="1"/>
  <c r="T37" i="8"/>
  <c r="A37" i="8"/>
  <c r="AE36" i="8" a="1"/>
  <c r="AE36" i="8" s="1"/>
  <c r="AF36" i="8" s="1"/>
  <c r="AC36" i="8"/>
  <c r="V36" i="8" a="1"/>
  <c r="V36" i="8" s="1"/>
  <c r="W36" i="8" s="1"/>
  <c r="T36" i="8"/>
  <c r="A36" i="8"/>
  <c r="AE35" i="8" a="1"/>
  <c r="AE35" i="8" s="1"/>
  <c r="AF35" i="8" s="1"/>
  <c r="AC35" i="8"/>
  <c r="V35" i="8" a="1"/>
  <c r="V35" i="8" s="1"/>
  <c r="W35" i="8" s="1"/>
  <c r="T35" i="8"/>
  <c r="A35" i="8"/>
  <c r="AE34" i="8" a="1"/>
  <c r="AE34" i="8" s="1"/>
  <c r="AF34" i="8" s="1"/>
  <c r="AC34" i="8"/>
  <c r="V34" i="8" a="1"/>
  <c r="V34" i="8" s="1"/>
  <c r="W34" i="8" s="1"/>
  <c r="T34" i="8"/>
  <c r="A34" i="8"/>
  <c r="AE33" i="8" a="1"/>
  <c r="AE33" i="8" s="1"/>
  <c r="AF33" i="8" s="1"/>
  <c r="AC33" i="8"/>
  <c r="V33" i="8" a="1"/>
  <c r="V33" i="8" s="1"/>
  <c r="W33" i="8" s="1"/>
  <c r="T33" i="8"/>
  <c r="A33" i="8"/>
  <c r="AE32" i="8" a="1"/>
  <c r="AE32" i="8" s="1"/>
  <c r="AF32" i="8" s="1"/>
  <c r="AC32" i="8"/>
  <c r="V32" i="8" a="1"/>
  <c r="V32" i="8" s="1"/>
  <c r="W32" i="8" s="1"/>
  <c r="T32" i="8"/>
  <c r="A32" i="8"/>
  <c r="AE31" i="8" a="1"/>
  <c r="AE31" i="8" s="1"/>
  <c r="AF31" i="8" s="1"/>
  <c r="AC31" i="8"/>
  <c r="V31" i="8" a="1"/>
  <c r="V31" i="8" s="1"/>
  <c r="W31" i="8" s="1"/>
  <c r="T31" i="8"/>
  <c r="A31" i="8"/>
  <c r="AE30" i="8" a="1"/>
  <c r="AE30" i="8" s="1"/>
  <c r="AF30" i="8" s="1"/>
  <c r="AC30" i="8"/>
  <c r="V30" i="8" a="1"/>
  <c r="V30" i="8" s="1"/>
  <c r="W30" i="8" s="1"/>
  <c r="T30" i="8"/>
  <c r="A30" i="8"/>
  <c r="AE29" i="8" a="1"/>
  <c r="AE29" i="8" s="1"/>
  <c r="AF29" i="8" s="1"/>
  <c r="AC29" i="8"/>
  <c r="V29" i="8" a="1"/>
  <c r="V29" i="8" s="1"/>
  <c r="W29" i="8" s="1"/>
  <c r="T29" i="8"/>
  <c r="A29" i="8"/>
  <c r="AE28" i="8" a="1"/>
  <c r="AE28" i="8" s="1"/>
  <c r="AF28" i="8" s="1"/>
  <c r="AC28" i="8"/>
  <c r="V28" i="8" a="1"/>
  <c r="V28" i="8" s="1"/>
  <c r="W28" i="8" s="1"/>
  <c r="T28" i="8"/>
  <c r="A28" i="8"/>
  <c r="AE27" i="8" a="1"/>
  <c r="AE27" i="8" s="1"/>
  <c r="AF27" i="8" s="1"/>
  <c r="AC27" i="8"/>
  <c r="V27" i="8" a="1"/>
  <c r="V27" i="8" s="1"/>
  <c r="W27" i="8" s="1"/>
  <c r="T27" i="8"/>
  <c r="A27" i="8"/>
  <c r="AE26" i="8" a="1"/>
  <c r="AE26" i="8" s="1"/>
  <c r="AF26" i="8" s="1"/>
  <c r="AC26" i="8"/>
  <c r="V26" i="8" a="1"/>
  <c r="V26" i="8" s="1"/>
  <c r="W26" i="8" s="1"/>
  <c r="T26" i="8"/>
  <c r="A26" i="8"/>
  <c r="AE25" i="8" a="1"/>
  <c r="AE25" i="8" s="1"/>
  <c r="AF25" i="8" s="1"/>
  <c r="AC25" i="8"/>
  <c r="V25" i="8" a="1"/>
  <c r="V25" i="8" s="1"/>
  <c r="W25" i="8" s="1"/>
  <c r="T25" i="8"/>
  <c r="A25" i="8"/>
  <c r="AE24" i="8" a="1"/>
  <c r="AE24" i="8" s="1"/>
  <c r="AF24" i="8" s="1"/>
  <c r="AC24" i="8"/>
  <c r="V24" i="8" a="1"/>
  <c r="V24" i="8" s="1"/>
  <c r="W24" i="8" s="1"/>
  <c r="T24" i="8"/>
  <c r="A24" i="8"/>
  <c r="AE23" i="8" a="1"/>
  <c r="AE23" i="8" s="1"/>
  <c r="AF23" i="8" s="1"/>
  <c r="AC23" i="8"/>
  <c r="V23" i="8" a="1"/>
  <c r="V23" i="8" s="1"/>
  <c r="W23" i="8" s="1"/>
  <c r="T23" i="8"/>
  <c r="A23" i="8"/>
  <c r="AE22" i="8" a="1"/>
  <c r="AE22" i="8" s="1"/>
  <c r="AF22" i="8" s="1"/>
  <c r="AC22" i="8"/>
  <c r="V22" i="8" a="1"/>
  <c r="V22" i="8" s="1"/>
  <c r="W22" i="8" s="1"/>
  <c r="T22" i="8"/>
  <c r="A22" i="8"/>
  <c r="AE21" i="8" a="1"/>
  <c r="AE21" i="8" s="1"/>
  <c r="AF21" i="8" s="1"/>
  <c r="AC21" i="8"/>
  <c r="V21" i="8" a="1"/>
  <c r="V21" i="8" s="1"/>
  <c r="W21" i="8" s="1"/>
  <c r="T21" i="8"/>
  <c r="A21" i="8"/>
  <c r="AE20" i="8" a="1"/>
  <c r="AE20" i="8" s="1"/>
  <c r="AF20" i="8" s="1"/>
  <c r="AC20" i="8"/>
  <c r="V20" i="8" a="1"/>
  <c r="V20" i="8" s="1"/>
  <c r="W20" i="8" s="1"/>
  <c r="T20" i="8"/>
  <c r="A20" i="8"/>
  <c r="AE19" i="8" a="1"/>
  <c r="AE19" i="8" s="1"/>
  <c r="AF19" i="8" s="1"/>
  <c r="AC19" i="8"/>
  <c r="V19" i="8" a="1"/>
  <c r="V19" i="8" s="1"/>
  <c r="W19" i="8" s="1"/>
  <c r="T19" i="8"/>
  <c r="A19" i="8"/>
  <c r="AE18" i="8" a="1"/>
  <c r="AE18" i="8" s="1"/>
  <c r="AF18" i="8" s="1"/>
  <c r="AC18" i="8"/>
  <c r="V18" i="8" a="1"/>
  <c r="V18" i="8" s="1"/>
  <c r="W18" i="8" s="1"/>
  <c r="T18" i="8"/>
  <c r="A18" i="8"/>
  <c r="AE17" i="8" a="1"/>
  <c r="AE17" i="8" s="1"/>
  <c r="AF17" i="8" s="1"/>
  <c r="AC17" i="8"/>
  <c r="V17" i="8" a="1"/>
  <c r="V17" i="8" s="1"/>
  <c r="W17" i="8" s="1"/>
  <c r="T17" i="8"/>
  <c r="A17" i="8"/>
  <c r="AE16" i="8" a="1"/>
  <c r="AE16" i="8" s="1"/>
  <c r="AF16" i="8" s="1"/>
  <c r="AC16" i="8"/>
  <c r="V16" i="8" a="1"/>
  <c r="V16" i="8" s="1"/>
  <c r="W16" i="8" s="1"/>
  <c r="T16" i="8"/>
  <c r="A16" i="8"/>
  <c r="AE15" i="8" a="1"/>
  <c r="AE15" i="8" s="1"/>
  <c r="AF15" i="8" s="1"/>
  <c r="AC15" i="8"/>
  <c r="V15" i="8" a="1"/>
  <c r="V15" i="8" s="1"/>
  <c r="W15" i="8" s="1"/>
  <c r="T15" i="8"/>
  <c r="A15" i="8"/>
  <c r="AE14" i="8" a="1"/>
  <c r="AE14" i="8" s="1"/>
  <c r="AF14" i="8" s="1"/>
  <c r="AC14" i="8"/>
  <c r="V14" i="8" a="1"/>
  <c r="V14" i="8" s="1"/>
  <c r="W14" i="8" s="1"/>
  <c r="T14" i="8"/>
  <c r="A14" i="8"/>
  <c r="AE13" i="8" a="1"/>
  <c r="AE13" i="8" s="1"/>
  <c r="AF13" i="8" s="1"/>
  <c r="AC13" i="8"/>
  <c r="V13" i="8" a="1"/>
  <c r="V13" i="8" s="1"/>
  <c r="W13" i="8" s="1"/>
  <c r="T13" i="8"/>
  <c r="A13" i="8"/>
  <c r="AE12" i="8" a="1"/>
  <c r="AE12" i="8" s="1"/>
  <c r="AF12" i="8" s="1"/>
  <c r="AC12" i="8"/>
  <c r="V12" i="8" a="1"/>
  <c r="V12" i="8" s="1"/>
  <c r="W12" i="8" s="1"/>
  <c r="T12" i="8"/>
  <c r="A12" i="8"/>
  <c r="AE11" i="8" a="1"/>
  <c r="AE11" i="8" s="1"/>
  <c r="AF11" i="8" s="1"/>
  <c r="AC11" i="8"/>
  <c r="V11" i="8" a="1"/>
  <c r="V11" i="8" s="1"/>
  <c r="W11" i="8" s="1"/>
  <c r="T11" i="8"/>
  <c r="A11" i="8"/>
  <c r="AE10" i="8" a="1"/>
  <c r="AE10" i="8" s="1"/>
  <c r="AF10" i="8" s="1"/>
  <c r="AC10" i="8"/>
  <c r="V10" i="8" a="1"/>
  <c r="V10" i="8" s="1"/>
  <c r="W10" i="8" s="1"/>
  <c r="T10" i="8"/>
  <c r="A10" i="8"/>
  <c r="AE9" i="8" a="1"/>
  <c r="AE9" i="8" s="1"/>
  <c r="AF9" i="8" s="1"/>
  <c r="AC9" i="8"/>
  <c r="V9" i="8" a="1"/>
  <c r="V9" i="8" s="1"/>
  <c r="W9" i="8" s="1"/>
  <c r="T9" i="8"/>
  <c r="A9" i="8"/>
  <c r="AE8" i="8" a="1"/>
  <c r="AE8" i="8" s="1"/>
  <c r="AF8" i="8" s="1"/>
  <c r="AC8" i="8"/>
  <c r="V8" i="8" a="1"/>
  <c r="V8" i="8" s="1"/>
  <c r="W8" i="8" s="1"/>
  <c r="T8" i="8"/>
  <c r="A8" i="8"/>
  <c r="AE7" i="8" a="1"/>
  <c r="AE7" i="8" s="1"/>
  <c r="AF7" i="8" s="1"/>
  <c r="AC7" i="8"/>
  <c r="V7" i="8" a="1"/>
  <c r="V7" i="8" s="1"/>
  <c r="W7" i="8" s="1"/>
  <c r="T7" i="8"/>
  <c r="A7" i="8"/>
  <c r="B2" i="8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W7" i="4" l="1"/>
  <c r="X7" i="4"/>
  <c r="W6" i="4"/>
  <c r="X6" i="4"/>
  <c r="X8" i="4"/>
  <c r="W8" i="4"/>
  <c r="X9" i="4"/>
  <c r="W9" i="4"/>
  <c r="A43" i="17"/>
  <c r="A45" i="17"/>
  <c r="A31" i="17"/>
  <c r="A40" i="17"/>
  <c r="A59" i="17"/>
  <c r="A60" i="17"/>
  <c r="A48" i="17"/>
  <c r="A19" i="17"/>
  <c r="B7" i="17" a="1"/>
  <c r="A39" i="17"/>
  <c r="A36" i="17"/>
  <c r="A24" i="17"/>
  <c r="A62" i="17"/>
  <c r="A22" i="17"/>
  <c r="A64" i="17"/>
  <c r="A21" i="17"/>
  <c r="A55" i="17"/>
  <c r="A56" i="17"/>
  <c r="A20" i="17"/>
  <c r="A38" i="17"/>
  <c r="A10" i="17"/>
  <c r="A29" i="17"/>
  <c r="A65" i="17"/>
  <c r="A41" i="17"/>
  <c r="A44" i="17"/>
  <c r="A26" i="17"/>
  <c r="A35" i="17"/>
  <c r="A12" i="17"/>
  <c r="A15" i="16"/>
  <c r="A48" i="16"/>
  <c r="A55" i="16"/>
  <c r="A35" i="16"/>
  <c r="A9" i="16"/>
  <c r="A62" i="16"/>
  <c r="A28" i="16"/>
  <c r="A63" i="16"/>
  <c r="A19" i="16"/>
  <c r="A7" i="16"/>
  <c r="P7" i="8" s="1"/>
  <c r="A43" i="16"/>
  <c r="A59" i="16"/>
  <c r="A27" i="16"/>
  <c r="A47" i="16"/>
  <c r="A25" i="16"/>
  <c r="A42" i="16"/>
  <c r="A32" i="16"/>
  <c r="A46" i="16"/>
  <c r="A17" i="16"/>
  <c r="A50" i="16"/>
  <c r="A22" i="16"/>
  <c r="A61" i="16"/>
  <c r="A10" i="16"/>
  <c r="A30" i="16"/>
  <c r="A37" i="16"/>
  <c r="A11" i="16"/>
  <c r="A60" i="16"/>
  <c r="A38" i="16"/>
  <c r="A36" i="16"/>
  <c r="A58" i="16"/>
  <c r="A53" i="16"/>
  <c r="A20" i="16"/>
  <c r="A18" i="16"/>
  <c r="A16" i="16"/>
  <c r="A54" i="16"/>
  <c r="A65" i="16"/>
  <c r="A34" i="16"/>
  <c r="A45" i="16"/>
  <c r="A40" i="16"/>
  <c r="A14" i="16"/>
  <c r="A44" i="16"/>
  <c r="A57" i="16"/>
  <c r="A52" i="16"/>
  <c r="A39" i="16"/>
  <c r="H52" i="6"/>
  <c r="P7" i="5" s="1"/>
  <c r="F7" i="5" s="1"/>
  <c r="S7" i="5"/>
  <c r="K7" i="5" s="1"/>
  <c r="F28" i="6"/>
  <c r="O6" i="5" s="1"/>
  <c r="E6" i="5" s="1"/>
  <c r="R6" i="5"/>
  <c r="J6" i="5" s="1"/>
  <c r="F77" i="6"/>
  <c r="O9" i="5" s="1"/>
  <c r="E9" i="5" s="1"/>
  <c r="R9" i="5"/>
  <c r="J9" i="5" s="1"/>
  <c r="F91" i="6"/>
  <c r="O11" i="5" s="1"/>
  <c r="E11" i="5" s="1"/>
  <c r="R11" i="5"/>
  <c r="J11" i="5" s="1"/>
  <c r="H77" i="6"/>
  <c r="P9" i="5" s="1"/>
  <c r="F9" i="5" s="1"/>
  <c r="S9" i="5"/>
  <c r="K9" i="5" s="1"/>
  <c r="F71" i="6"/>
  <c r="O8" i="5" s="1"/>
  <c r="E8" i="5" s="1"/>
  <c r="R8" i="5"/>
  <c r="J8" i="5" s="1"/>
  <c r="F52" i="6"/>
  <c r="O7" i="5" s="1"/>
  <c r="E7" i="5" s="1"/>
  <c r="R7" i="5"/>
  <c r="J7" i="5" s="1"/>
  <c r="H88" i="6"/>
  <c r="P10" i="5" s="1"/>
  <c r="F10" i="5" s="1"/>
  <c r="S10" i="5"/>
  <c r="K10" i="5" s="1"/>
  <c r="F88" i="6"/>
  <c r="O10" i="5" s="1"/>
  <c r="E10" i="5" s="1"/>
  <c r="R10" i="5"/>
  <c r="J10" i="5" s="1"/>
  <c r="H91" i="6"/>
  <c r="P11" i="5" s="1"/>
  <c r="F11" i="5" s="1"/>
  <c r="S11" i="5"/>
  <c r="K11" i="5" s="1"/>
  <c r="H71" i="6"/>
  <c r="P8" i="5" s="1"/>
  <c r="F8" i="5" s="1"/>
  <c r="S8" i="5"/>
  <c r="K8" i="5" s="1"/>
  <c r="H28" i="6"/>
  <c r="P6" i="5" s="1"/>
  <c r="F6" i="5" s="1"/>
  <c r="S6" i="5"/>
  <c r="K6" i="5" s="1"/>
  <c r="S5" i="5"/>
  <c r="K5" i="5" s="1"/>
  <c r="F6" i="6"/>
  <c r="O5" i="5" s="1"/>
  <c r="E5" i="5" s="1"/>
  <c r="R5" i="5"/>
  <c r="J5" i="5" s="1"/>
  <c r="A41" i="16"/>
  <c r="A33" i="16"/>
  <c r="A49" i="16"/>
  <c r="A51" i="16"/>
  <c r="A26" i="16"/>
  <c r="A13" i="16"/>
  <c r="A29" i="16"/>
  <c r="A31" i="16"/>
  <c r="A24" i="16"/>
  <c r="A12" i="16"/>
  <c r="A21" i="16"/>
  <c r="A23" i="16"/>
  <c r="A56" i="16"/>
  <c r="A66" i="16"/>
  <c r="A64" i="16"/>
  <c r="A7" i="19"/>
  <c r="E6" i="8" s="1"/>
  <c r="A12" i="19"/>
  <c r="A37" i="19"/>
  <c r="A66" i="19"/>
  <c r="A51" i="19"/>
  <c r="A52" i="19"/>
  <c r="A32" i="19"/>
  <c r="A60" i="19"/>
  <c r="A13" i="19"/>
  <c r="A38" i="19"/>
  <c r="A21" i="19"/>
  <c r="A33" i="19"/>
  <c r="A35" i="19"/>
  <c r="A16" i="19"/>
  <c r="A44" i="19"/>
  <c r="A17" i="19"/>
  <c r="A45" i="19"/>
  <c r="A18" i="19"/>
  <c r="A48" i="19"/>
  <c r="A28" i="19"/>
  <c r="A53" i="19"/>
  <c r="A61" i="19"/>
  <c r="A63" i="19"/>
  <c r="A36" i="19"/>
  <c r="A65" i="19"/>
  <c r="A19" i="19"/>
  <c r="A49" i="19"/>
  <c r="A20" i="19"/>
  <c r="A50" i="19"/>
  <c r="A22" i="19"/>
  <c r="A29" i="19"/>
  <c r="A54" i="19"/>
  <c r="A34" i="19"/>
  <c r="A64" i="19"/>
  <c r="A30" i="19"/>
  <c r="A24" i="19"/>
  <c r="A11" i="19"/>
  <c r="A58" i="19"/>
  <c r="A42" i="19"/>
  <c r="A15" i="19"/>
  <c r="A9" i="19"/>
  <c r="A46" i="19"/>
  <c r="A40" i="19"/>
  <c r="A14" i="19"/>
  <c r="A8" i="19"/>
  <c r="A59" i="19"/>
  <c r="A55" i="19"/>
  <c r="A39" i="19"/>
  <c r="A27" i="19"/>
  <c r="A23" i="19"/>
  <c r="A62" i="19"/>
  <c r="A56" i="19"/>
  <c r="A57" i="19"/>
  <c r="A47" i="19"/>
  <c r="A41" i="19"/>
  <c r="A31" i="19"/>
  <c r="A43" i="19"/>
  <c r="A10" i="19"/>
  <c r="A26" i="19"/>
  <c r="A25" i="19"/>
  <c r="P5" i="5"/>
  <c r="F5" i="5" s="1"/>
  <c r="P6" i="8" l="1"/>
  <c r="B7" i="17"/>
  <c r="X6" i="8" s="1"/>
  <c r="B22" i="17"/>
  <c r="X21" i="8" s="1"/>
  <c r="B44" i="17"/>
  <c r="X43" i="8" s="1"/>
  <c r="B63" i="17"/>
  <c r="X62" i="8" s="1"/>
  <c r="B12" i="17"/>
  <c r="X11" i="8" s="1"/>
  <c r="B31" i="17"/>
  <c r="X30" i="8" s="1"/>
  <c r="B50" i="17"/>
  <c r="X49" i="8" s="1"/>
  <c r="B13" i="17"/>
  <c r="X12" i="8" s="1"/>
  <c r="B32" i="17"/>
  <c r="X31" i="8" s="1"/>
  <c r="B51" i="17"/>
  <c r="X50" i="8" s="1"/>
  <c r="B14" i="17"/>
  <c r="X13" i="8" s="1"/>
  <c r="B33" i="17"/>
  <c r="X32" i="8" s="1"/>
  <c r="B52" i="17"/>
  <c r="B17" i="17"/>
  <c r="X16" i="8" s="1"/>
  <c r="B36" i="17"/>
  <c r="X35" i="8" s="1"/>
  <c r="B58" i="17"/>
  <c r="X57" i="8" s="1"/>
  <c r="B18" i="17"/>
  <c r="X17" i="8" s="1"/>
  <c r="B37" i="17"/>
  <c r="X36" i="8" s="1"/>
  <c r="B59" i="17"/>
  <c r="X58" i="8" s="1"/>
  <c r="B20" i="17"/>
  <c r="X19" i="8" s="1"/>
  <c r="B42" i="17"/>
  <c r="X41" i="8" s="1"/>
  <c r="B61" i="17"/>
  <c r="X60" i="8" s="1"/>
  <c r="B26" i="17"/>
  <c r="X25" i="8" s="1"/>
  <c r="B45" i="17"/>
  <c r="X44" i="8" s="1"/>
  <c r="B64" i="17"/>
  <c r="X63" i="8" s="1"/>
  <c r="B28" i="17"/>
  <c r="X27" i="8" s="1"/>
  <c r="B47" i="17"/>
  <c r="X46" i="8" s="1"/>
  <c r="B66" i="17"/>
  <c r="B30" i="17"/>
  <c r="X29" i="8" s="1"/>
  <c r="B27" i="17"/>
  <c r="X26" i="8" s="1"/>
  <c r="B46" i="17"/>
  <c r="X45" i="8" s="1"/>
  <c r="B65" i="17"/>
  <c r="X64" i="8" s="1"/>
  <c r="B29" i="17"/>
  <c r="X28" i="8" s="1"/>
  <c r="B48" i="17"/>
  <c r="X47" i="8" s="1"/>
  <c r="B10" i="17"/>
  <c r="X9" i="8" s="1"/>
  <c r="B49" i="17"/>
  <c r="X48" i="8" s="1"/>
  <c r="B15" i="17"/>
  <c r="X14" i="8" s="1"/>
  <c r="B34" i="17"/>
  <c r="X33" i="8" s="1"/>
  <c r="B53" i="17"/>
  <c r="X52" i="8" s="1"/>
  <c r="B16" i="17"/>
  <c r="X15" i="8" s="1"/>
  <c r="B35" i="17"/>
  <c r="X34" i="8" s="1"/>
  <c r="B54" i="17"/>
  <c r="X53" i="8" s="1"/>
  <c r="B19" i="17"/>
  <c r="X18" i="8" s="1"/>
  <c r="B38" i="17"/>
  <c r="X37" i="8" s="1"/>
  <c r="B60" i="17"/>
  <c r="X59" i="8" s="1"/>
  <c r="B21" i="17"/>
  <c r="X20" i="8" s="1"/>
  <c r="B43" i="17"/>
  <c r="X42" i="8" s="1"/>
  <c r="B62" i="17"/>
  <c r="X61" i="8" s="1"/>
  <c r="B8" i="17"/>
  <c r="X7" i="8" s="1"/>
  <c r="B55" i="17"/>
  <c r="X54" i="8" s="1"/>
  <c r="B39" i="17"/>
  <c r="X38" i="8" s="1"/>
  <c r="B23" i="17"/>
  <c r="X22" i="8" s="1"/>
  <c r="B11" i="17"/>
  <c r="X10" i="8" s="1"/>
  <c r="B57" i="17"/>
  <c r="X56" i="8" s="1"/>
  <c r="B41" i="17"/>
  <c r="X40" i="8" s="1"/>
  <c r="B25" i="17"/>
  <c r="X24" i="8" s="1"/>
  <c r="B9" i="17"/>
  <c r="X8" i="8" s="1"/>
  <c r="B56" i="17"/>
  <c r="X55" i="8" s="1"/>
  <c r="B40" i="17"/>
  <c r="X39" i="8" s="1"/>
  <c r="B24" i="17"/>
  <c r="X23" i="8" s="1"/>
  <c r="X51" i="8"/>
  <c r="P8" i="8"/>
  <c r="P9" i="8"/>
  <c r="P13" i="8"/>
  <c r="P10" i="8"/>
  <c r="P36" i="8"/>
  <c r="P16" i="8"/>
  <c r="P43" i="8"/>
  <c r="P17" i="8"/>
  <c r="P62" i="8"/>
  <c r="P32" i="8"/>
  <c r="P57" i="8"/>
  <c r="P56" i="8"/>
  <c r="P53" i="8"/>
  <c r="P27" i="8"/>
  <c r="E23" i="8"/>
  <c r="P37" i="8"/>
  <c r="P51" i="8"/>
  <c r="P58" i="8"/>
  <c r="P38" i="8"/>
  <c r="E34" i="8"/>
  <c r="P55" i="8"/>
  <c r="P39" i="8"/>
  <c r="P24" i="8"/>
  <c r="P48" i="8"/>
  <c r="P29" i="8"/>
  <c r="B11" i="5"/>
  <c r="I93" i="6" s="1"/>
  <c r="B7" i="5"/>
  <c r="I60" i="6" s="1"/>
  <c r="K13" i="5"/>
  <c r="K12" i="5"/>
  <c r="J13" i="5"/>
  <c r="J12" i="5"/>
  <c r="P30" i="8"/>
  <c r="P28" i="8"/>
  <c r="P19" i="8"/>
  <c r="P44" i="8"/>
  <c r="E45" i="8"/>
  <c r="P64" i="8"/>
  <c r="P12" i="8"/>
  <c r="P50" i="8"/>
  <c r="P31" i="8"/>
  <c r="E14" i="8"/>
  <c r="P40" i="8"/>
  <c r="P35" i="8"/>
  <c r="P59" i="8"/>
  <c r="P45" i="8"/>
  <c r="P63" i="8"/>
  <c r="P15" i="8"/>
  <c r="P22" i="8"/>
  <c r="P20" i="8"/>
  <c r="P11" i="8"/>
  <c r="P25" i="8"/>
  <c r="P23" i="8"/>
  <c r="E15" i="8"/>
  <c r="P61" i="8"/>
  <c r="P34" i="8"/>
  <c r="E41" i="8"/>
  <c r="P26" i="8"/>
  <c r="P41" i="8"/>
  <c r="P14" i="8"/>
  <c r="P49" i="8"/>
  <c r="P47" i="8"/>
  <c r="P54" i="8"/>
  <c r="P46" i="8"/>
  <c r="P42" i="8"/>
  <c r="E22" i="8"/>
  <c r="P18" i="8"/>
  <c r="P60" i="8"/>
  <c r="P33" i="8"/>
  <c r="P52" i="8"/>
  <c r="P21" i="8"/>
  <c r="E54" i="8"/>
  <c r="E57" i="8"/>
  <c r="E20" i="8"/>
  <c r="E51" i="8"/>
  <c r="E42" i="8"/>
  <c r="E24" i="8"/>
  <c r="E58" i="8"/>
  <c r="E35" i="8"/>
  <c r="E16" i="8"/>
  <c r="E18" i="8"/>
  <c r="E19" i="8"/>
  <c r="E8" i="8"/>
  <c r="E28" i="8"/>
  <c r="E39" i="8"/>
  <c r="E32" i="8"/>
  <c r="E36" i="8"/>
  <c r="E40" i="8"/>
  <c r="E55" i="8"/>
  <c r="E49" i="8"/>
  <c r="E27" i="8"/>
  <c r="E37" i="8"/>
  <c r="E59" i="8"/>
  <c r="E10" i="8"/>
  <c r="E46" i="8"/>
  <c r="E48" i="8"/>
  <c r="E47" i="8"/>
  <c r="E56" i="8"/>
  <c r="E64" i="8"/>
  <c r="E12" i="8"/>
  <c r="E31" i="8"/>
  <c r="E50" i="8"/>
  <c r="E43" i="8"/>
  <c r="E21" i="8"/>
  <c r="E33" i="8"/>
  <c r="E61" i="8"/>
  <c r="E38" i="8"/>
  <c r="E29" i="8"/>
  <c r="E30" i="8"/>
  <c r="E63" i="8"/>
  <c r="E60" i="8"/>
  <c r="E9" i="8"/>
  <c r="E52" i="8"/>
  <c r="E11" i="8"/>
  <c r="E44" i="8"/>
  <c r="E13" i="8"/>
  <c r="E7" i="8"/>
  <c r="E62" i="8"/>
  <c r="E17" i="8"/>
  <c r="E25" i="8"/>
  <c r="E26" i="8"/>
  <c r="E53" i="8"/>
  <c r="F12" i="5"/>
  <c r="F13" i="5"/>
  <c r="E13" i="5"/>
  <c r="B5" i="5" l="1"/>
  <c r="I4" i="6" s="1"/>
  <c r="B9" i="5"/>
  <c r="I80" i="6" s="1"/>
  <c r="B6" i="5"/>
  <c r="G6" i="5" s="1"/>
  <c r="B10" i="5"/>
  <c r="G10" i="5" s="1"/>
  <c r="B8" i="5"/>
  <c r="I71" i="6" s="1"/>
  <c r="G11" i="5"/>
  <c r="G7" i="5"/>
  <c r="E12" i="5"/>
  <c r="I64" i="6"/>
  <c r="I67" i="6"/>
  <c r="I59" i="6"/>
  <c r="I69" i="6"/>
  <c r="I53" i="6"/>
  <c r="I62" i="6"/>
  <c r="I70" i="6"/>
  <c r="I54" i="6"/>
  <c r="I55" i="6"/>
  <c r="I65" i="6"/>
  <c r="I52" i="6"/>
  <c r="I57" i="6"/>
  <c r="I68" i="6"/>
  <c r="I61" i="6"/>
  <c r="I58" i="6"/>
  <c r="I63" i="6"/>
  <c r="I56" i="6"/>
  <c r="I66" i="6"/>
  <c r="I100" i="6"/>
  <c r="I96" i="6"/>
  <c r="I97" i="6"/>
  <c r="I91" i="6"/>
  <c r="I95" i="6"/>
  <c r="I92" i="6"/>
  <c r="I94" i="6"/>
  <c r="I99" i="6"/>
  <c r="I103" i="6"/>
  <c r="I101" i="6"/>
  <c r="I98" i="6"/>
  <c r="I102" i="6"/>
  <c r="I37" i="6" l="1"/>
  <c r="I30" i="6"/>
  <c r="I47" i="6"/>
  <c r="I46" i="6"/>
  <c r="I32" i="6"/>
  <c r="I16" i="6"/>
  <c r="I25" i="6"/>
  <c r="I19" i="6"/>
  <c r="I49" i="6"/>
  <c r="I50" i="6"/>
  <c r="I35" i="6"/>
  <c r="I34" i="6"/>
  <c r="I29" i="6"/>
  <c r="I51" i="6"/>
  <c r="I39" i="6"/>
  <c r="I45" i="6"/>
  <c r="I44" i="6"/>
  <c r="I28" i="6"/>
  <c r="I43" i="6"/>
  <c r="I31" i="6"/>
  <c r="I36" i="6"/>
  <c r="I42" i="6"/>
  <c r="I41" i="6"/>
  <c r="I40" i="6"/>
  <c r="I38" i="6"/>
  <c r="I33" i="6"/>
  <c r="I48" i="6"/>
  <c r="I14" i="6"/>
  <c r="I24" i="6"/>
  <c r="I26" i="6"/>
  <c r="I11" i="6"/>
  <c r="I10" i="6"/>
  <c r="I12" i="6"/>
  <c r="I21" i="6"/>
  <c r="I15" i="6"/>
  <c r="I5" i="6"/>
  <c r="I72" i="6"/>
  <c r="I84" i="6"/>
  <c r="B13" i="5"/>
  <c r="I27" i="6"/>
  <c r="I20" i="6"/>
  <c r="I9" i="6"/>
  <c r="I6" i="6"/>
  <c r="I18" i="6"/>
  <c r="I13" i="6"/>
  <c r="I85" i="6"/>
  <c r="I74" i="6"/>
  <c r="I22" i="6"/>
  <c r="I76" i="6"/>
  <c r="I86" i="6"/>
  <c r="I81" i="6"/>
  <c r="B12" i="5"/>
  <c r="I78" i="6"/>
  <c r="I83" i="6"/>
  <c r="I82" i="6"/>
  <c r="I73" i="6"/>
  <c r="G9" i="5"/>
  <c r="I7" i="6"/>
  <c r="I23" i="6"/>
  <c r="I90" i="6"/>
  <c r="G8" i="5"/>
  <c r="I8" i="6"/>
  <c r="G5" i="5"/>
  <c r="I17" i="6"/>
  <c r="I88" i="6"/>
  <c r="I89" i="6"/>
  <c r="I87" i="6"/>
  <c r="I77" i="6"/>
  <c r="I79" i="6"/>
  <c r="I7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<sst xmlns="http://schemas.openxmlformats.org/spreadsheetml/2006/main" count="12044" uniqueCount="592">
  <si>
    <t>Please read the Security Guideline which explains the usage of this tool. The guideline is available at https://ertms.be/activities/ertms-security-core-group
The tool can't be used without reading the guideline.</t>
  </si>
  <si>
    <t>EUG</t>
  </si>
  <si>
    <t>v3</t>
  </si>
  <si>
    <t>EULYNX</t>
  </si>
  <si>
    <t>OCORA</t>
  </si>
  <si>
    <t xml:space="preserve">RCA </t>
  </si>
  <si>
    <t>ERORAT</t>
  </si>
  <si>
    <r>
      <rPr>
        <b/>
        <sz val="20"/>
        <color theme="1"/>
        <rFont val="Calibri"/>
        <family val="2"/>
        <scheme val="minor"/>
      </rPr>
      <t>E</t>
    </r>
    <r>
      <rPr>
        <sz val="20"/>
        <color theme="1"/>
        <rFont val="Calibri"/>
        <family val="2"/>
        <scheme val="minor"/>
      </rPr>
      <t xml:space="preserve">ULYNX - EUG - </t>
    </r>
    <r>
      <rPr>
        <b/>
        <sz val="20"/>
        <color theme="1"/>
        <rFont val="Calibri"/>
        <family val="2"/>
        <scheme val="minor"/>
      </rPr>
      <t>R</t>
    </r>
    <r>
      <rPr>
        <sz val="20"/>
        <color theme="1"/>
        <rFont val="Calibri"/>
        <family val="2"/>
        <scheme val="minor"/>
      </rPr>
      <t xml:space="preserve">CA - </t>
    </r>
    <r>
      <rPr>
        <b/>
        <sz val="20"/>
        <color theme="1"/>
        <rFont val="Calibri"/>
        <family val="2"/>
        <scheme val="minor"/>
      </rPr>
      <t>O</t>
    </r>
    <r>
      <rPr>
        <sz val="20"/>
        <color theme="1"/>
        <rFont val="Calibri"/>
        <family val="2"/>
        <scheme val="minor"/>
      </rPr>
      <t xml:space="preserve">CORA - </t>
    </r>
    <r>
      <rPr>
        <b/>
        <sz val="20"/>
        <color theme="1"/>
        <rFont val="Calibri"/>
        <family val="2"/>
        <scheme val="minor"/>
      </rPr>
      <t>R</t>
    </r>
    <r>
      <rPr>
        <sz val="20"/>
        <color theme="1"/>
        <rFont val="Calibri"/>
        <family val="2"/>
        <scheme val="minor"/>
      </rPr>
      <t xml:space="preserve">isk </t>
    </r>
    <r>
      <rPr>
        <b/>
        <sz val="20"/>
        <color theme="1"/>
        <rFont val="Calibri"/>
        <family val="2"/>
        <scheme val="minor"/>
      </rPr>
      <t>A</t>
    </r>
    <r>
      <rPr>
        <sz val="20"/>
        <color theme="1"/>
        <rFont val="Calibri"/>
        <family val="2"/>
        <scheme val="minor"/>
      </rPr>
      <t xml:space="preserve">nalysis </t>
    </r>
    <r>
      <rPr>
        <b/>
        <sz val="20"/>
        <color theme="1"/>
        <rFont val="Calibri"/>
        <family val="2"/>
        <scheme val="minor"/>
      </rPr>
      <t>T</t>
    </r>
    <r>
      <rPr>
        <sz val="20"/>
        <color theme="1"/>
        <rFont val="Calibri"/>
        <family val="2"/>
        <scheme val="minor"/>
      </rPr>
      <t>ool</t>
    </r>
  </si>
  <si>
    <t>Here is a short categorisation of the tabs in the table:</t>
  </si>
  <si>
    <t>-</t>
  </si>
  <si>
    <t>The green tabs are providing basic input for the risk calculation.</t>
  </si>
  <si>
    <t>The blue tabs support the threat analysis.</t>
  </si>
  <si>
    <t>The yellow tab shows the system requirements.</t>
  </si>
  <si>
    <t>The red tab shows risk evaluations and the future risk analysis.</t>
  </si>
  <si>
    <t>Assessment Authors:</t>
  </si>
  <si>
    <t xml:space="preserve">Template Version: </t>
  </si>
  <si>
    <t>3.01</t>
  </si>
  <si>
    <t xml:space="preserve">Template Publisher: </t>
  </si>
  <si>
    <t xml:space="preserve">ERTMS Users Group </t>
  </si>
  <si>
    <t xml:space="preserve">Copyright EUG, EULYNX and OCORA partners.  </t>
  </si>
  <si>
    <t xml:space="preserve">All information included or disclosed in this document is licensed under the European Union Public License </t>
  </si>
  <si>
    <t xml:space="preserve">EUPL, Version 1.2. </t>
  </si>
  <si>
    <t xml:space="preserve">Template Authors: </t>
  </si>
  <si>
    <t>see Template_Changelog</t>
  </si>
  <si>
    <t xml:space="preserve">Document Changelog </t>
  </si>
  <si>
    <t>Document Version</t>
  </si>
  <si>
    <t>Date</t>
  </si>
  <si>
    <t>Change Description</t>
  </si>
  <si>
    <t>Author</t>
  </si>
  <si>
    <t>0.01</t>
  </si>
  <si>
    <t>Zone Name:</t>
  </si>
  <si>
    <t>ZoneXX</t>
  </si>
  <si>
    <t>Description</t>
  </si>
  <si>
    <t>Zone Definition</t>
  </si>
  <si>
    <t>Overall Assumptions</t>
  </si>
  <si>
    <t>Expected Implementation</t>
  </si>
  <si>
    <t>Connections (via Conduits) taken into consideration in this Zone Assessment</t>
  </si>
  <si>
    <t>Threats</t>
  </si>
  <si>
    <t>Risk</t>
  </si>
  <si>
    <t>G-3a (Threat Catalogue)</t>
  </si>
  <si>
    <t>G-3b (FR)</t>
  </si>
  <si>
    <t>G-4a</t>
  </si>
  <si>
    <t>G-4c</t>
  </si>
  <si>
    <t>G-4d</t>
  </si>
  <si>
    <t>G-4b</t>
  </si>
  <si>
    <t>Maximum 
Impact</t>
  </si>
  <si>
    <t>Threat Name</t>
  </si>
  <si>
    <t>IAC</t>
  </si>
  <si>
    <t>UC</t>
  </si>
  <si>
    <t>SI</t>
  </si>
  <si>
    <t>DC</t>
  </si>
  <si>
    <t>RDF</t>
  </si>
  <si>
    <t>TRE</t>
  </si>
  <si>
    <t>RA</t>
  </si>
  <si>
    <t>Relevance</t>
  </si>
  <si>
    <t>Exposure</t>
  </si>
  <si>
    <t>Vulnerability</t>
  </si>
  <si>
    <t>Likelihood</t>
  </si>
  <si>
    <t>Impact
C</t>
  </si>
  <si>
    <t>Impact
C-Value</t>
  </si>
  <si>
    <t>Impact
I</t>
  </si>
  <si>
    <t>Impact
I -Value</t>
  </si>
  <si>
    <t>Impact
A</t>
  </si>
  <si>
    <t>Impact
A-Value</t>
  </si>
  <si>
    <t>Impact
Max</t>
  </si>
  <si>
    <t>Risk
C</t>
  </si>
  <si>
    <t>Risk
I</t>
  </si>
  <si>
    <t>Risk
A</t>
  </si>
  <si>
    <t>Risk
Max</t>
  </si>
  <si>
    <t>SL
C</t>
  </si>
  <si>
    <t>SL
I</t>
  </si>
  <si>
    <t>SL
A</t>
  </si>
  <si>
    <t>IAC_Value</t>
  </si>
  <si>
    <t>UC_Value</t>
  </si>
  <si>
    <t>SI_Value</t>
  </si>
  <si>
    <t>DC_Value</t>
  </si>
  <si>
    <t>RDF_Value</t>
  </si>
  <si>
    <t>TRE_Value</t>
  </si>
  <si>
    <t>RA_Value</t>
  </si>
  <si>
    <t>Explanation / Reason why not relevant</t>
  </si>
  <si>
    <t>G 0.13 Interception of Compromising Interference Signals</t>
  </si>
  <si>
    <t>C</t>
  </si>
  <si>
    <t>Yes</t>
  </si>
  <si>
    <t>A</t>
  </si>
  <si>
    <t xml:space="preserve">G 0.14 Interception of Information / Espionage </t>
  </si>
  <si>
    <t>D</t>
  </si>
  <si>
    <t>G 0.15 Eavesdropping</t>
  </si>
  <si>
    <t>B</t>
  </si>
  <si>
    <t>G 0.16 Theft of Devices, Storage Media and Documents</t>
  </si>
  <si>
    <t>CA</t>
  </si>
  <si>
    <t>G 0.17 Loss of Devices, Storage Media and Documents</t>
  </si>
  <si>
    <t>No</t>
  </si>
  <si>
    <t>G 0.19 Disclosure of Sensitive Information</t>
  </si>
  <si>
    <t>G 0.20 Information or Products from an Unreliable Source</t>
  </si>
  <si>
    <t>I</t>
  </si>
  <si>
    <t>G 0.21 Manipulation of Hardware or Software</t>
  </si>
  <si>
    <t>CIA</t>
  </si>
  <si>
    <t>IA</t>
  </si>
  <si>
    <t>G 0.22 Manipulation of Information</t>
  </si>
  <si>
    <t>G 0.23 Unauthorised Access to IT Systems</t>
  </si>
  <si>
    <t>G 0.24 Destruction of Devices or Storage Media</t>
  </si>
  <si>
    <t>G 0.28 Software Vulnerabilities or Errors</t>
  </si>
  <si>
    <t>G 0.30 Unauthorised Use or Administration of Devices and Systems</t>
  </si>
  <si>
    <t>G 0.31 Incorrect Use or Administration of Devices and Systems</t>
  </si>
  <si>
    <t>G 0.32 Misuse of Authorisation</t>
  </si>
  <si>
    <t>G 0.35 Coercion, Blackmail or Corruption</t>
  </si>
  <si>
    <t>G 0.36 Identity Theft</t>
  </si>
  <si>
    <t>G 0.37 Repudiation of Actions</t>
  </si>
  <si>
    <t>G 0.38 Misuse of Personal Information</t>
  </si>
  <si>
    <t>G 0.39 Malware</t>
  </si>
  <si>
    <t>G 0.40 Denial of Service</t>
  </si>
  <si>
    <t>G 0.42 Social Engineering</t>
  </si>
  <si>
    <t>G 0.43 Attack with Specially Crafted Messages</t>
  </si>
  <si>
    <t>G 0.44 Unauthorised Entry to Premises</t>
  </si>
  <si>
    <t>G 0.45 Data Loss</t>
  </si>
  <si>
    <t>G 0.46 Loss of Integrity of Sensitive Information</t>
  </si>
  <si>
    <t>G 0.47 Harmful Side Effects of IT-Supported Attacks</t>
  </si>
  <si>
    <t>IND.1.2 Insufficient integration of OT into the security organisation</t>
  </si>
  <si>
    <t>IND.1.3 Insufficient integration of OT into operational processes</t>
  </si>
  <si>
    <t>IND.1.4 Insufficient access protection</t>
  </si>
  <si>
    <t>IND.1.5 Unsecure project planning process/application development process</t>
  </si>
  <si>
    <t>IND.1.6 Unsecure administration concept and remote administration</t>
  </si>
  <si>
    <t>IND.1.7 Insufficient monitoring and detection procedures</t>
  </si>
  <si>
    <t>IND.1.8 Insufficient test concept</t>
  </si>
  <si>
    <t>IND.1.9 Insufficient life cycle concepts</t>
  </si>
  <si>
    <t>IND.1.10 Insufficient security requirements for procurement</t>
  </si>
  <si>
    <t>IND.1.11 Use of unsecure protocols</t>
  </si>
  <si>
    <t>IND.1.12 Insecure configurations of components</t>
  </si>
  <si>
    <t>IND.1.13 Dependencies of OT on IT networks</t>
  </si>
  <si>
    <t>IND.2.1.2 Insufficient user and authorisation management</t>
  </si>
  <si>
    <t>IND.2.1.3 Insufficient logging</t>
  </si>
  <si>
    <t>IND.2.1.9 Manipulated firmware</t>
  </si>
  <si>
    <t>IND.2.2.1 Incomplete documentation</t>
  </si>
  <si>
    <t>IND.3.2.1 Incompletely documented remote maintenance access in the OT</t>
  </si>
  <si>
    <t>IND.3.2.2 Insufficient availability due to dependencies on office and building IT</t>
  </si>
  <si>
    <t>IND.3.2.3 Insufficient regulations for the use of OT remote maintenance access</t>
  </si>
  <si>
    <t>IND.3.2.4 Insufficient human oversight over OT remote maintenance sessions</t>
  </si>
  <si>
    <t>IND.3.2.5 Direct IP-based access to systems from insecure zones</t>
  </si>
  <si>
    <t>IND.3.2.6 Insecure alternative OT remote maintenance access in the event of faults</t>
  </si>
  <si>
    <t>IND.3.2.7 Insecure design of OT remote maintenance accesses</t>
  </si>
  <si>
    <t>IND.3.2.8 Outdated technical concepts for OT remote maintenance access</t>
  </si>
  <si>
    <t>CON.1.1 Insufficient key management for encryption</t>
  </si>
  <si>
    <t>CON.1.8 Compromise of cryptographic keys</t>
  </si>
  <si>
    <t>CON.1.9 Forged certificates</t>
  </si>
  <si>
    <t>CON.3.1 Missing data backup</t>
  </si>
  <si>
    <t>CON.3.2 Missing recovery tests</t>
  </si>
  <si>
    <t>OPS.1.1.3.5 Problems with the automated distribution of patches and changes</t>
  </si>
  <si>
    <t>OPS.1.1.3.6 Insufficient recovery options for patch and change management</t>
  </si>
  <si>
    <t>OPS.1.1.3.8 Manipulation of data and tools during patch and change management</t>
  </si>
  <si>
    <t>SL-T Vector - G-4e</t>
  </si>
  <si>
    <t>SL - Consistency Check - G-8a</t>
  </si>
  <si>
    <t>SL - Maximum SR Selection Check - G-8b</t>
  </si>
  <si>
    <t xml:space="preserve">
Prefulfilled</t>
  </si>
  <si>
    <t>Planned after Mitigation</t>
  </si>
  <si>
    <t>Status</t>
  </si>
  <si>
    <t xml:space="preserve">
Prefullfilled</t>
  </si>
  <si>
    <t>Raw SL-A (P)</t>
  </si>
  <si>
    <t>Raw SL-A (P+M)</t>
  </si>
  <si>
    <t>Max SL-A</t>
  </si>
  <si>
    <t>Max SL-Fulfilled (P)</t>
  </si>
  <si>
    <t>Max SL-Fulfilled (P+M)</t>
  </si>
  <si>
    <t>Vector - G-6c</t>
  </si>
  <si>
    <t>Vector</t>
  </si>
  <si>
    <t>SL-T - G-6</t>
  </si>
  <si>
    <t>SL</t>
  </si>
  <si>
    <t>Risk - G-6</t>
  </si>
  <si>
    <t>Target Risk</t>
  </si>
  <si>
    <t>Low</t>
  </si>
  <si>
    <t>Use update filter function to see relevant requirements</t>
  </si>
  <si>
    <t>P = Prefulfilled
M = Mitigating</t>
  </si>
  <si>
    <t>Official ID (62443-3-3 -2013)</t>
  </si>
  <si>
    <t>FR</t>
  </si>
  <si>
    <t>lowest SL-T</t>
  </si>
  <si>
    <t>62443-3-3 2013</t>
  </si>
  <si>
    <t>Requirement Selected (Prefulfilled)</t>
  </si>
  <si>
    <t>Requirement Selected (Prefulfilled or Revoked)</t>
  </si>
  <si>
    <t>Requirement Selected (Prefulfilled + Mitigating)</t>
  </si>
  <si>
    <t>Requirement Selected (Prefulfilled + Mitigating or Revoked)</t>
  </si>
  <si>
    <t>Relevance revoked</t>
  </si>
  <si>
    <t>Reason why the SR has not been selected and why it is not relevant.</t>
  </si>
  <si>
    <t>SR 1.1</t>
  </si>
  <si>
    <t>SR 1.1 RE 1</t>
  </si>
  <si>
    <t>SR 1.1 RE 2</t>
  </si>
  <si>
    <t>SR 1.1 RE 3</t>
  </si>
  <si>
    <t>SR 1.2,</t>
  </si>
  <si>
    <t>SR 1.2 RE 1</t>
  </si>
  <si>
    <t>SR 1.3</t>
  </si>
  <si>
    <t>SR 1.3 RE 1</t>
  </si>
  <si>
    <t>SR 1.4</t>
  </si>
  <si>
    <t>SR 1.5</t>
  </si>
  <si>
    <t>SR 1.5 RE 1</t>
  </si>
  <si>
    <t>SR 1.6</t>
  </si>
  <si>
    <t>SR 1.6. RE 1</t>
  </si>
  <si>
    <t>SR 1.7</t>
  </si>
  <si>
    <t>SR 1.7 RE 1</t>
  </si>
  <si>
    <t>SR 1.7 RE 2</t>
  </si>
  <si>
    <t>SR 1.8,</t>
  </si>
  <si>
    <t>SR 1.9</t>
  </si>
  <si>
    <t>SR 1.9 RE 1</t>
  </si>
  <si>
    <t>SR 1.10</t>
  </si>
  <si>
    <t>SR 1.11</t>
  </si>
  <si>
    <t>SR 1.12</t>
  </si>
  <si>
    <t>SR 1.13</t>
  </si>
  <si>
    <t>SR 1.13 RE 1</t>
  </si>
  <si>
    <t>SR 2.1</t>
  </si>
  <si>
    <t>SR 2.1 RE 1</t>
  </si>
  <si>
    <t>SR 2.1 RE 2</t>
  </si>
  <si>
    <t>SR 2.1 RE 3</t>
  </si>
  <si>
    <t>SR 2.1 RE 4</t>
  </si>
  <si>
    <t>SR 2.2</t>
  </si>
  <si>
    <t>SR 2.2 RE 1</t>
  </si>
  <si>
    <t>SR 2.3</t>
  </si>
  <si>
    <t>SR 2.3 RE 1</t>
  </si>
  <si>
    <t>SR 2.4</t>
  </si>
  <si>
    <t>SR 2.4 RE 1</t>
  </si>
  <si>
    <t>SR 2.5</t>
  </si>
  <si>
    <t>SR 2.6</t>
  </si>
  <si>
    <t>SR 2.7</t>
  </si>
  <si>
    <t>SR 2.8</t>
  </si>
  <si>
    <t>SR 2.8 RE 1</t>
  </si>
  <si>
    <t>SR 2.9</t>
  </si>
  <si>
    <t>SR 2.9 RE 1</t>
  </si>
  <si>
    <t>SR 2.10</t>
  </si>
  <si>
    <t>SR 2.11</t>
  </si>
  <si>
    <t>SR 2.11 RE 1</t>
  </si>
  <si>
    <t>SR 2.11 RE 2</t>
  </si>
  <si>
    <t>SR 2.12</t>
  </si>
  <si>
    <t>SR 2.12 RE 1</t>
  </si>
  <si>
    <t>SR 3.1</t>
  </si>
  <si>
    <t xml:space="preserve">SR 3.1 RE 1 </t>
  </si>
  <si>
    <t>SR 3.2</t>
  </si>
  <si>
    <t>SR 3.2 RE 1</t>
  </si>
  <si>
    <t>SR 3.2 RE 2</t>
  </si>
  <si>
    <t>SR 3.3</t>
  </si>
  <si>
    <t>SR 3.3 RE 1</t>
  </si>
  <si>
    <t>SR 3.3 RE 2</t>
  </si>
  <si>
    <t>SR 3.4</t>
  </si>
  <si>
    <t>SR 3.4 RE 1</t>
  </si>
  <si>
    <t>SR 3.5</t>
  </si>
  <si>
    <t>SR 3.6</t>
  </si>
  <si>
    <t>SR 3.7</t>
  </si>
  <si>
    <t>SR 3.8</t>
  </si>
  <si>
    <t>SR 3.8 RE 1</t>
  </si>
  <si>
    <t>SR 3.8 RE 2</t>
  </si>
  <si>
    <t>SR 3.8 RE 3</t>
  </si>
  <si>
    <t>SR 3.9</t>
  </si>
  <si>
    <t>SR 3.9 RE 1</t>
  </si>
  <si>
    <t>SR 4.1</t>
  </si>
  <si>
    <t>SR 4.1 RE 1</t>
  </si>
  <si>
    <t>SR 4.1 RE 2</t>
  </si>
  <si>
    <t>SR 4.2</t>
  </si>
  <si>
    <t>SR 4.2 RE 1</t>
  </si>
  <si>
    <t>SR 4.3</t>
  </si>
  <si>
    <t>SR 5.1</t>
  </si>
  <si>
    <t>SR 5.1 RE 1</t>
  </si>
  <si>
    <t>SR 5.1 RE 2</t>
  </si>
  <si>
    <t>SR 5.1 RE 3</t>
  </si>
  <si>
    <t>SR 5.2</t>
  </si>
  <si>
    <t>SR 5.2 RE 1</t>
  </si>
  <si>
    <t>SR 5.2 RE 2</t>
  </si>
  <si>
    <t>SR 5.2 RE 3</t>
  </si>
  <si>
    <t>SR 5.3</t>
  </si>
  <si>
    <t>SR 5.3 RE 1</t>
  </si>
  <si>
    <t>SR 5.4</t>
  </si>
  <si>
    <t>SR 6.1</t>
  </si>
  <si>
    <t>SR 6.1 RE 1</t>
  </si>
  <si>
    <t>SR 6.2</t>
  </si>
  <si>
    <t>SR 7.1</t>
  </si>
  <si>
    <t>SR 7.1 RE 1</t>
  </si>
  <si>
    <t>SR 7.1 RE 2</t>
  </si>
  <si>
    <t>SR 7.2</t>
  </si>
  <si>
    <t>SR 7.3</t>
  </si>
  <si>
    <t>SR 7.3 RE 1</t>
  </si>
  <si>
    <t>SR 7.3 RE 2</t>
  </si>
  <si>
    <t>SR 7.4</t>
  </si>
  <si>
    <t>SR 7.5</t>
  </si>
  <si>
    <t>SR 7.6</t>
  </si>
  <si>
    <t>SR 7.6 RE 1</t>
  </si>
  <si>
    <t>SR 7.7</t>
  </si>
  <si>
    <t>SR 7.8</t>
  </si>
  <si>
    <t>Official ID (62443-2-1 -2020)</t>
  </si>
  <si>
    <t>62443-2-1 2020</t>
  </si>
  <si>
    <t>Requirement Selected</t>
  </si>
  <si>
    <t>ORG 1.1</t>
  </si>
  <si>
    <t>ORG 1.2</t>
  </si>
  <si>
    <t>ORG 1.3</t>
  </si>
  <si>
    <t>ORG 1.4</t>
  </si>
  <si>
    <t>ORG 1.5</t>
  </si>
  <si>
    <t>ORG 1.6</t>
  </si>
  <si>
    <t>ORG 2.1</t>
  </si>
  <si>
    <t>ORG 2.2</t>
  </si>
  <si>
    <t>ORG 2.3</t>
  </si>
  <si>
    <t>ORG 2.4</t>
  </si>
  <si>
    <t>ORG 3.1</t>
  </si>
  <si>
    <t>CM 1.1</t>
  </si>
  <si>
    <t>CM 1.2</t>
  </si>
  <si>
    <t>CM 1.3</t>
  </si>
  <si>
    <t>CM 1.4</t>
  </si>
  <si>
    <t>NET 1.1</t>
  </si>
  <si>
    <t>NET 1.2</t>
  </si>
  <si>
    <t>NET 1.3</t>
  </si>
  <si>
    <t>NET 1.4</t>
  </si>
  <si>
    <t>NET 1.5</t>
  </si>
  <si>
    <t>NET 1.6</t>
  </si>
  <si>
    <t>NET 1.7</t>
  </si>
  <si>
    <t>NET 1.8</t>
  </si>
  <si>
    <t>NET 1.9</t>
  </si>
  <si>
    <t>NET 1.10</t>
  </si>
  <si>
    <t>NET 2.1</t>
  </si>
  <si>
    <t>NET 2.2</t>
  </si>
  <si>
    <t>NET 2.3</t>
  </si>
  <si>
    <t>NET 3.1</t>
  </si>
  <si>
    <t>NET 3.2</t>
  </si>
  <si>
    <t>NET 3.3</t>
  </si>
  <si>
    <t>COMP 1.1</t>
  </si>
  <si>
    <t>COMP 1.2</t>
  </si>
  <si>
    <t>COMP 2.1</t>
  </si>
  <si>
    <t>COMP 2.2</t>
  </si>
  <si>
    <t>COMP 2.3</t>
  </si>
  <si>
    <t>COMP 3.1</t>
  </si>
  <si>
    <t>COMP 3.2</t>
  </si>
  <si>
    <t>COMP 3.3</t>
  </si>
  <si>
    <t>COMP 3.4</t>
  </si>
  <si>
    <t>COMP 3.5</t>
  </si>
  <si>
    <t>DATA 1.1</t>
  </si>
  <si>
    <t>DATA 1.2</t>
  </si>
  <si>
    <t>DATA 1.3</t>
  </si>
  <si>
    <t>DATA 1.4</t>
  </si>
  <si>
    <t>DATA 1.5</t>
  </si>
  <si>
    <t>DATA 1.6</t>
  </si>
  <si>
    <t>DATA 1.7</t>
  </si>
  <si>
    <t>DATA 1.8</t>
  </si>
  <si>
    <t>DATA 1.9</t>
  </si>
  <si>
    <t>USER 1.1</t>
  </si>
  <si>
    <t>USER 1.2</t>
  </si>
  <si>
    <t>USER 1.3</t>
  </si>
  <si>
    <t>USER 1.4</t>
  </si>
  <si>
    <t>USER 1.5</t>
  </si>
  <si>
    <t>USER 1.6</t>
  </si>
  <si>
    <t>USER 1.7</t>
  </si>
  <si>
    <t>USER 1.8</t>
  </si>
  <si>
    <t>USER 1.9</t>
  </si>
  <si>
    <t>USER 1.10</t>
  </si>
  <si>
    <t>USER 1.11</t>
  </si>
  <si>
    <t>USER 1.12</t>
  </si>
  <si>
    <t>USER 1.13</t>
  </si>
  <si>
    <t>USER 1.14</t>
  </si>
  <si>
    <t>USER 1.15</t>
  </si>
  <si>
    <t>USER 1.16</t>
  </si>
  <si>
    <t>USER 1.17</t>
  </si>
  <si>
    <t>USER 1.18</t>
  </si>
  <si>
    <t>USER 2.1</t>
  </si>
  <si>
    <t>USER 2.2</t>
  </si>
  <si>
    <t>USER 2.3</t>
  </si>
  <si>
    <t>USER 2.4</t>
  </si>
  <si>
    <t>EVENT 1.1</t>
  </si>
  <si>
    <t>EVENT 1.2</t>
  </si>
  <si>
    <t>EVENT 1.3</t>
  </si>
  <si>
    <t>EVENT 1.4</t>
  </si>
  <si>
    <t>EVENT 1.5</t>
  </si>
  <si>
    <t>EVENT 1.6</t>
  </si>
  <si>
    <t>EVENT 1.7</t>
  </si>
  <si>
    <t>EVENT 1.8</t>
  </si>
  <si>
    <t>EVENT 1.9</t>
  </si>
  <si>
    <t>AVAIL 1.1</t>
  </si>
  <si>
    <t>AVAIL 1.2</t>
  </si>
  <si>
    <t>AVIAL 1.3</t>
  </si>
  <si>
    <t>AVAIL 2.1</t>
  </si>
  <si>
    <t>AVAIL 2.2</t>
  </si>
  <si>
    <t>AVAIL 2.3</t>
  </si>
  <si>
    <t>AVAIL 2.4</t>
  </si>
  <si>
    <t>AVAIL 2.5</t>
  </si>
  <si>
    <t xml:space="preserve">Target Risk: </t>
  </si>
  <si>
    <t>Prefulfilled
G-6b</t>
  </si>
  <si>
    <t>Risk Assessment - unmitigated Risk Assessment (with only prefulfilled measures) - G-6b</t>
  </si>
  <si>
    <t>Compensation Measures - G-6e</t>
  </si>
  <si>
    <t>Risk Delta</t>
  </si>
  <si>
    <t>System Requirements - G-6c</t>
  </si>
  <si>
    <t>Risk Assessment - G-6d</t>
  </si>
  <si>
    <t>Final Risk Assessment - G-6f</t>
  </si>
  <si>
    <t>Threat Catalogue</t>
  </si>
  <si>
    <t>Covered by / Reference to - G-6a</t>
  </si>
  <si>
    <t>Reason for reference to other threat - G-6a</t>
  </si>
  <si>
    <t>Prefulfilled SRs</t>
  </si>
  <si>
    <t>Prefulfilled Measures</t>
  </si>
  <si>
    <t>Exposure - G-6b</t>
  </si>
  <si>
    <r>
      <t xml:space="preserve">Exposure - 
G-6b
</t>
    </r>
    <r>
      <rPr>
        <b/>
        <sz val="11"/>
        <color rgb="FFC00000"/>
        <rFont val="Calibri"/>
        <family val="2"/>
        <scheme val="minor"/>
      </rPr>
      <t>Override</t>
    </r>
  </si>
  <si>
    <t>Vulnerability - 
G-6b</t>
  </si>
  <si>
    <r>
      <t xml:space="preserve">Vulnerability - 
G-6b
</t>
    </r>
    <r>
      <rPr>
        <b/>
        <sz val="11"/>
        <color rgb="FFC00000"/>
        <rFont val="Calibri"/>
        <family val="2"/>
        <scheme val="minor"/>
      </rPr>
      <t>Override</t>
    </r>
  </si>
  <si>
    <t>Likelihood - 6b</t>
  </si>
  <si>
    <t>Impact - G-6b</t>
  </si>
  <si>
    <r>
      <t xml:space="preserve">Impact - 
G-6b
</t>
    </r>
    <r>
      <rPr>
        <b/>
        <sz val="11"/>
        <color rgb="FFC00000"/>
        <rFont val="Calibri"/>
        <family val="2"/>
        <scheme val="minor"/>
      </rPr>
      <t>Override</t>
    </r>
  </si>
  <si>
    <t>Actual Risk - 
G-6b</t>
  </si>
  <si>
    <t>Risk Delta - 
G-6b</t>
  </si>
  <si>
    <t>Measure (SR) from 
62443-3-3</t>
  </si>
  <si>
    <t>Explanations for SRs</t>
  </si>
  <si>
    <t>Exposure - G-6d</t>
  </si>
  <si>
    <t>Vulnerability - 
G-6d</t>
  </si>
  <si>
    <t>Likelihood - 
G-6d</t>
  </si>
  <si>
    <t>Impact - G-6d</t>
  </si>
  <si>
    <t>Actual Risk - 
G-6d</t>
  </si>
  <si>
    <t>Risk Delta - 
G-6d</t>
  </si>
  <si>
    <t>Measures from
 62443-2-1</t>
  </si>
  <si>
    <t>Compensating measures and explanations</t>
  </si>
  <si>
    <t>Measure IDs</t>
  </si>
  <si>
    <t>Exposure - 
G-6f</t>
  </si>
  <si>
    <t>Vulnerability - 
G-6f</t>
  </si>
  <si>
    <t>Likelihood - 
G-6f</t>
  </si>
  <si>
    <t>Impact  - G-6f</t>
  </si>
  <si>
    <t>Actual Risk - 
G-6f</t>
  </si>
  <si>
    <t>Final Risk Delta G-6f</t>
  </si>
  <si>
    <t>Risk acceptance 
Explanation
G-6e</t>
  </si>
  <si>
    <t>Explanation (e.g. for Exposure, Vulnerability, Impact)</t>
  </si>
  <si>
    <t>Impact</t>
  </si>
  <si>
    <t>Human health and safety</t>
  </si>
  <si>
    <t>Operational availability</t>
  </si>
  <si>
    <t>Financial impact</t>
  </si>
  <si>
    <t>One or several fatalities</t>
  </si>
  <si>
    <t>Most of operations disturbed during more than 1 week</t>
  </si>
  <si>
    <t>Could lead to organization bankrupt</t>
  </si>
  <si>
    <t>Several severe or critical injuries</t>
  </si>
  <si>
    <t>Most of operation disturbed between 1 day and 1 week. Important operation disturbed during more than 1 week</t>
  </si>
  <si>
    <t>Impact in a significant way the organization annual budget (&gt; 10% of revenue)</t>
  </si>
  <si>
    <t>One severe injury or several injuries requiring hospitalization</t>
  </si>
  <si>
    <t>Most of operation disturbed between 1 hour and 1 day. Important operation disturbed between 1 day and 1 week</t>
  </si>
  <si>
    <t>Impact in a significant way the organization annual benefits.</t>
  </si>
  <si>
    <t>One injury requiring hospitalization or several light injuries (not requiring any hospitalization)</t>
  </si>
  <si>
    <t>Important operation disturbed less than 1 day.</t>
  </si>
  <si>
    <t>Impact not visible on annual basis</t>
  </si>
  <si>
    <t>Definition of Impact classes, TS50701 chapter 6.3.1</t>
  </si>
  <si>
    <t>CIA Definition</t>
  </si>
  <si>
    <t>Confidentiality</t>
  </si>
  <si>
    <t>Integrity</t>
  </si>
  <si>
    <t>Availability</t>
  </si>
  <si>
    <t>Rating</t>
  </si>
  <si>
    <t>Exposure (EXP)</t>
  </si>
  <si>
    <t>Vulnerability (VUL)</t>
  </si>
  <si>
    <t>The vulnerability rating is not adressing a specific vulnerabilty, but the exploitability of the system.</t>
  </si>
  <si>
    <t>Highly restricted logical or physical access for attacker, e.g.</t>
  </si>
  <si>
    <t xml:space="preserve">- Successful attack is only possible for a small group of attackers with high hacking skills (high capabilities needed) </t>
  </si>
  <si>
    <t>- highly restricted network and physical access, or</t>
  </si>
  <si>
    <t xml:space="preserve"> - Vulnerability is only exploitable with high effort, and if strong technical difficulties can be solved, non-public information about inner workings of system is required</t>
  </si>
  <si>
    <t>- product or components cannot be acquired by attacker or only with high effort</t>
  </si>
  <si>
    <t>- State of the art security measures to counter the threat</t>
  </si>
  <si>
    <t>- High chance for attacker to be traced and prosecuted</t>
  </si>
  <si>
    <t xml:space="preserve">Restricted logical or physical access for attacker, e.g.  </t>
  </si>
  <si>
    <t>- Successful attack is feasible for an attacker with average hacking skills (medium capabilities needed)</t>
  </si>
  <si>
    <t xml:space="preserve">    - internal network access required, or</t>
  </si>
  <si>
    <t xml:space="preserve"> - Vulnerability is exploitable with medium effort, requiring special technology, domain or tool knowledge</t>
  </si>
  <si>
    <t xml:space="preserve">    - restricted physical access, or</t>
  </si>
  <si>
    <t>- Some security measures to counter the threat</t>
  </si>
  <si>
    <t xml:space="preserve">    - product or components can be acquired by attacker with  
       medium effort</t>
  </si>
  <si>
    <t>- Medium chance for attacker to be traced and prosecuted</t>
  </si>
  <si>
    <t>Easy logical or physical access for attacker, e.g.</t>
  </si>
  <si>
    <t>- Successful attack is easy to perform, even for an unskilled attacker (little capabilities needed)</t>
  </si>
  <si>
    <t xml:space="preserve">    - Internet access sufficient, or</t>
  </si>
  <si>
    <t xml:space="preserve"> - Vulnerability can be exploited easily with low effort, since no tools are required, or suitable attack tools freely exist.</t>
  </si>
  <si>
    <t xml:space="preserve">    - public physical access, or</t>
  </si>
  <si>
    <t xml:space="preserve"> - No or only weak security measures to counter the attack caused by the threat</t>
  </si>
  <si>
    <t xml:space="preserve">    - attacker has access as part of daily work, operation, or
       maintenance activities, or</t>
  </si>
  <si>
    <t>- Low chance for attacker to be traced and prosecuted</t>
  </si>
  <si>
    <t xml:space="preserve">    - product or components can be acquired by attacker with 
      low effort</t>
  </si>
  <si>
    <t>threat impact</t>
  </si>
  <si>
    <t>likelihood</t>
  </si>
  <si>
    <t>Medium</t>
  </si>
  <si>
    <t>Significant</t>
  </si>
  <si>
    <t>High</t>
  </si>
  <si>
    <t>Very high</t>
  </si>
  <si>
    <t>Resources</t>
  </si>
  <si>
    <t>Value</t>
  </si>
  <si>
    <t>Name</t>
  </si>
  <si>
    <t>iSL-T Max</t>
  </si>
  <si>
    <t>R2</t>
  </si>
  <si>
    <t xml:space="preserve">There are small financial resources available, e.g. an individual 
(up to 10 000 €). </t>
  </si>
  <si>
    <t>Knowledge</t>
  </si>
  <si>
    <t>R3</t>
  </si>
  <si>
    <t>Middle</t>
  </si>
  <si>
    <t xml:space="preserve">Medium-sized financial resources are available, e.g. a small group of people 
(up to € 1 million). </t>
  </si>
  <si>
    <t>R4</t>
  </si>
  <si>
    <t xml:space="preserve">There are large financial resources available, e.g. governmental organisations or large groups of people.  </t>
  </si>
  <si>
    <t>K2</t>
  </si>
  <si>
    <t xml:space="preserve">Knowledge is easily accessible, e.g. commonly available literature and tools. </t>
  </si>
  <si>
    <t>Definition based on VDE 0831-104</t>
  </si>
  <si>
    <t>K3</t>
  </si>
  <si>
    <t>Knowledge has to be obtained with some effort, e.g. special literature, tools, insider knowledge or expert groups.</t>
  </si>
  <si>
    <t>K4</t>
  </si>
  <si>
    <t xml:space="preserve">Knowledge is difficult to access, e.g. unpublished literature, special insider knowledge or closed expert groups. </t>
  </si>
  <si>
    <t xml:space="preserve">ERORAT Template Changelog </t>
  </si>
  <si>
    <t>Template Version</t>
  </si>
  <si>
    <t>1.0</t>
  </si>
  <si>
    <t>Initial ERORAT Template</t>
  </si>
  <si>
    <t>Ulrich Meier
Max Schubert
Richard Poschinger</t>
  </si>
  <si>
    <t>2.00</t>
  </si>
  <si>
    <t>- New FA mapping
- Fine grained SL Calculation
- Split into one file per zone
- Updated to table formatting and added human readable formulas
- Selection of SR based on SL per FR
- Removed macros</t>
  </si>
  <si>
    <t>Markus Heinrich
Richard Poschinger</t>
  </si>
  <si>
    <t>2.01</t>
  </si>
  <si>
    <t>- Fixed Calculation of SL</t>
  </si>
  <si>
    <t>Richard Poschinger</t>
  </si>
  <si>
    <t>2.02</t>
  </si>
  <si>
    <t>- Cross Reference Table for 62443 Measures including automatic evaluation</t>
  </si>
  <si>
    <t>2.03</t>
  </si>
  <si>
    <t>- Improved BSI G0 Threats translation
- Fixed SR Overview</t>
  </si>
  <si>
    <t>2.04</t>
  </si>
  <si>
    <t>- Improved BSI G0 Threats translation</t>
  </si>
  <si>
    <t>2.05</t>
  </si>
  <si>
    <t>- Added new BSI G0 Threat</t>
  </si>
  <si>
    <t>2.06</t>
  </si>
  <si>
    <t>- Minor design changes
- Typos</t>
  </si>
  <si>
    <t>2.07</t>
  </si>
  <si>
    <t>- Fixed SR Overview
- Target Risk definition in Attacker Threat Zone</t>
  </si>
  <si>
    <t>2.08</t>
  </si>
  <si>
    <t>- Fixed not displaying all Measures</t>
  </si>
  <si>
    <t>2.09</t>
  </si>
  <si>
    <t>- Fixed wrong SL of SR 4.2 RE 1
- Fixed wrong SL of SR 6.1 (RE 1)
- Fixed wrong SR number and SL of SR 6.2</t>
  </si>
  <si>
    <t>2.10</t>
  </si>
  <si>
    <t>- Removed unused hidden sheets</t>
  </si>
  <si>
    <t>2.11</t>
  </si>
  <si>
    <t>- New SL definition based on impact</t>
  </si>
  <si>
    <t>2.12</t>
  </si>
  <si>
    <t>- Adjusted default FR to Threat mapping</t>
  </si>
  <si>
    <t>2.13</t>
  </si>
  <si>
    <t>- Fixed impact definition in risk evaluation</t>
  </si>
  <si>
    <t>2.14</t>
  </si>
  <si>
    <t>- Improved background pattern of input fields
- Display usage of SR</t>
  </si>
  <si>
    <t>2.15</t>
  </si>
  <si>
    <t>- Labels according to new security guideline
- Impact definition fixed</t>
  </si>
  <si>
    <t>2.16</t>
  </si>
  <si>
    <t>- Added description column for SRs
- Removed obsolete target risk column
- New coloured highlightning of risk and risk delta</t>
  </si>
  <si>
    <t>2.17</t>
  </si>
  <si>
    <t>- Add descriptions according to new guideline</t>
  </si>
  <si>
    <t>Roger Metz
Richard Poschinger</t>
  </si>
  <si>
    <t>2.18</t>
  </si>
  <si>
    <t>- Added defintion of attacker type</t>
  </si>
  <si>
    <t>2.19</t>
  </si>
  <si>
    <t>- Moved explanation for relevance
- Fixed typos</t>
  </si>
  <si>
    <t>2.20</t>
  </si>
  <si>
    <t>- Improved overview in risk evaluation</t>
  </si>
  <si>
    <t>2.21</t>
  </si>
  <si>
    <t>- Improved risk evaluation structure
- Removed prefilled example data
- Improved FR prefilled data</t>
  </si>
  <si>
    <t>2.22</t>
  </si>
  <si>
    <t>- Fixed reference to Guideline</t>
  </si>
  <si>
    <t>2.23</t>
  </si>
  <si>
    <t>- Fixed Risk definition
- Optimized Risk Evaluation and Threats Layout</t>
  </si>
  <si>
    <t>2.24</t>
  </si>
  <si>
    <t>- Fixed an error in the SR overview of the risk evaluation (which had no impact)</t>
  </si>
  <si>
    <t>2.25</t>
  </si>
  <si>
    <t>- Fixed not showing SR 7.8 in Overview</t>
  </si>
  <si>
    <t>2.26</t>
  </si>
  <si>
    <t>- Added a Heatmap to the measurements showing which measures were picked most for which threat</t>
  </si>
  <si>
    <t>Mario Freund</t>
  </si>
  <si>
    <t>2.27</t>
  </si>
  <si>
    <t>- Fixed Impact Dropdown</t>
  </si>
  <si>
    <t>2.28</t>
  </si>
  <si>
    <t>- Updated Heatmap
- Improved FR Mapping
- New 62443-2-1 selection functionality</t>
  </si>
  <si>
    <t>Mario Freund
Martin Koop
Richard Poschinger</t>
  </si>
  <si>
    <t>2.29</t>
  </si>
  <si>
    <t xml:space="preserve">- Minor Improvements of SRs </t>
  </si>
  <si>
    <t>Leon Hagemann</t>
  </si>
  <si>
    <t>2.30</t>
  </si>
  <si>
    <t>- Added information for publishment on EUG website</t>
  </si>
  <si>
    <t>2.31</t>
  </si>
  <si>
    <t>- Removed dependency on hidden sheets</t>
  </si>
  <si>
    <t>2.32</t>
  </si>
  <si>
    <t>- Update translation of threats according to new BSI document</t>
  </si>
  <si>
    <t>2.33</t>
  </si>
  <si>
    <t>- Updated reference to Guideline</t>
  </si>
  <si>
    <t>2.34</t>
  </si>
  <si>
    <t>- SR Prefulfilled
- Optimized Likelihood Formatting
- Added SL-A Evaluation</t>
  </si>
  <si>
    <t>Richard Poschinger
Tobias Wothge</t>
  </si>
  <si>
    <t>3.00</t>
  </si>
  <si>
    <t>- New Threat Catalogue
- SL-T Calculation improved
- New SL check methods</t>
  </si>
  <si>
    <t>Roger Metz
Markus Heinrich
Richard Poschinger</t>
  </si>
  <si>
    <t>- Removed maximum SL-T definition</t>
  </si>
  <si>
    <t>SR Overview Generator</t>
  </si>
  <si>
    <t>Category</t>
  </si>
  <si>
    <t>Intentional/Targeted</t>
  </si>
  <si>
    <t>Human Error/Unspecific</t>
  </si>
  <si>
    <t>Technical Failure</t>
  </si>
  <si>
    <t>Environmental Influences/Force Majeure</t>
  </si>
  <si>
    <t>Methods for Validation and Verification</t>
  </si>
  <si>
    <t>Inspection</t>
  </si>
  <si>
    <t xml:space="preserve">1st Article Inspection (FAI) </t>
  </si>
  <si>
    <t xml:space="preserve">Analysis </t>
  </si>
  <si>
    <t xml:space="preserve">Design Review </t>
  </si>
  <si>
    <t xml:space="preserve">Simulation </t>
  </si>
  <si>
    <t xml:space="preserve">Calculation </t>
  </si>
  <si>
    <t xml:space="preserve">Demonstration </t>
  </si>
  <si>
    <t>Routine Test</t>
  </si>
  <si>
    <t>Test</t>
  </si>
  <si>
    <t>Type test</t>
  </si>
  <si>
    <t>Certification</t>
  </si>
  <si>
    <t>Description removed in public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</si>
</sst>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CIDFont+F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color rgb="FF9C5700"/>
      <name val="Arial"/>
      <family val="2"/>
    </font>
    <font>
      <sz val="10"/>
      <color rgb="FF9C0006"/>
      <name val="Arial"/>
      <family val="2"/>
    </font>
    <font>
      <b/>
      <sz val="12"/>
      <color rgb="FF000000"/>
      <name val="Calibri"/>
      <family val="2"/>
    </font>
    <font>
      <b/>
      <sz val="11"/>
      <color theme="1"/>
      <name val="Arial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theme="1" tint="0.1499984740745262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rgb="FF808080"/>
      <name val="Arial"/>
      <family val="2"/>
    </font>
    <font>
      <b/>
      <sz val="11"/>
      <color theme="1" tint="0.1499984740745262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Arial"/>
      <family val="2"/>
    </font>
    <font>
      <sz val="11"/>
      <name val="Calibri"/>
      <family val="2"/>
      <scheme val="minor"/>
    </font>
    <font>
      <sz val="72"/>
      <color rgb="FF00206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65D7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382D8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darkGray">
        <fgColor theme="2"/>
        <bgColor rgb="FFFF6969"/>
      </patternFill>
    </fill>
    <fill>
      <patternFill patternType="darkGray">
        <fgColor theme="2"/>
        <bgColor rgb="FFC9E7A7"/>
      </patternFill>
    </fill>
    <fill>
      <patternFill patternType="darkGray">
        <fgColor theme="2"/>
        <bgColor theme="0" tint="-0.14999847407452621"/>
      </patternFill>
    </fill>
    <fill>
      <patternFill patternType="darkGray">
        <fgColor theme="2"/>
        <bgColor rgb="FFB382D8"/>
      </patternFill>
    </fill>
    <fill>
      <patternFill patternType="darkGray">
        <fgColor theme="2"/>
        <bgColor rgb="FFFF8B8B"/>
      </patternFill>
    </fill>
    <fill>
      <patternFill patternType="darkGray">
        <fgColor theme="2"/>
        <bgColor rgb="FF65D7FF"/>
      </patternFill>
    </fill>
    <fill>
      <patternFill patternType="darkGray">
        <fgColor theme="2"/>
        <bgColor rgb="FFDEC8E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darkGray">
        <fgColor theme="2"/>
        <bgColor theme="4" tint="0.59999389629810485"/>
      </patternFill>
    </fill>
    <fill>
      <patternFill patternType="darkGray">
        <fgColor theme="2"/>
        <bgColor theme="9" tint="0.59999389629810485"/>
      </patternFill>
    </fill>
    <fill>
      <patternFill patternType="solid">
        <fgColor theme="4" tint="0.39997558519241921"/>
        <bgColor indexed="64"/>
      </patternFill>
    </fill>
    <fill>
      <patternFill patternType="darkGray">
        <fgColor theme="2"/>
        <bgColor theme="4" tint="0.399945066682943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darkGray">
        <fgColor theme="2"/>
        <bgColor theme="0" tint="-0.249977111117893"/>
      </patternFill>
    </fill>
    <fill>
      <patternFill patternType="solid">
        <fgColor rgb="FFB382D8"/>
        <bgColor auto="1"/>
      </patternFill>
    </fill>
    <fill>
      <patternFill patternType="darkGray">
        <fgColor theme="2"/>
        <bgColor theme="4" tint="-0.249977111117893"/>
      </patternFill>
    </fill>
    <fill>
      <patternFill patternType="solid">
        <fgColor rgb="FF008000"/>
        <bgColor rgb="FF008000"/>
      </patternFill>
    </fill>
    <fill>
      <patternFill patternType="solid">
        <fgColor rgb="FF329500"/>
        <bgColor rgb="FF329500"/>
      </patternFill>
    </fill>
    <fill>
      <patternFill patternType="solid">
        <fgColor rgb="FF72AA00"/>
        <bgColor rgb="FF72AA00"/>
      </patternFill>
    </fill>
    <fill>
      <patternFill patternType="solid">
        <fgColor rgb="FFBFBF00"/>
        <bgColor rgb="FFBFBF00"/>
      </patternFill>
    </fill>
    <fill>
      <patternFill patternType="solid">
        <fgColor rgb="FFD58E00"/>
        <bgColor rgb="FFD58E00"/>
      </patternFill>
    </fill>
    <fill>
      <patternFill patternType="solid">
        <fgColor rgb="FFEA4E00"/>
        <bgColor rgb="FFEA4E00"/>
      </patternFill>
    </fill>
    <fill>
      <patternFill patternType="solid">
        <fgColor rgb="FFFF0000"/>
        <bgColor rgb="FFFF0000"/>
      </patternFill>
    </fill>
    <fill>
      <patternFill patternType="solid">
        <fgColor rgb="FFC00000"/>
        <bgColor indexed="64"/>
      </patternFill>
    </fill>
    <fill>
      <patternFill patternType="solid">
        <fgColor rgb="FF9999FF"/>
        <bgColor indexed="64"/>
      </patternFill>
    </fill>
    <fill>
      <patternFill patternType="darkGray">
        <fgColor theme="2"/>
        <bgColor rgb="FF9999FF"/>
      </patternFill>
    </fill>
    <fill>
      <patternFill patternType="solid">
        <fgColor rgb="FF9999FF"/>
        <bgColor theme="2"/>
      </patternFill>
    </fill>
    <fill>
      <patternFill patternType="solid">
        <fgColor theme="7" tint="0.39997558519241921"/>
        <bgColor indexed="64"/>
      </patternFill>
    </fill>
    <fill>
      <patternFill patternType="mediumGray">
        <fgColor theme="0"/>
        <bgColor theme="7" tint="0.3999755851924192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theme="2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theme="2"/>
      </patternFill>
    </fill>
    <fill>
      <patternFill patternType="darkGray">
        <fgColor theme="2"/>
        <bgColor rgb="FFFF0000"/>
      </patternFill>
    </fill>
    <fill>
      <patternFill patternType="solid">
        <fgColor rgb="FFFF0000"/>
        <bgColor theme="2"/>
      </patternFill>
    </fill>
    <fill>
      <patternFill patternType="solid">
        <fgColor rgb="FFFFB7B7"/>
        <bgColor theme="2"/>
      </patternFill>
    </fill>
    <fill>
      <patternFill patternType="solid">
        <fgColor rgb="FF00B05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rgb="FF000000"/>
      </bottom>
      <diagonal/>
    </border>
    <border>
      <left/>
      <right style="thin">
        <color theme="1"/>
      </right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6" fillId="4" borderId="0"/>
    <xf numFmtId="0" fontId="7" fillId="3" borderId="0"/>
    <xf numFmtId="0" fontId="3" fillId="5" borderId="0"/>
  </cellStyleXfs>
  <cellXfs count="251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6" fillId="4" borderId="11" xfId="2" applyBorder="1"/>
    <xf numFmtId="0" fontId="7" fillId="3" borderId="11" xfId="3" applyBorder="1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" fillId="8" borderId="0" xfId="0" applyFont="1" applyFill="1" applyAlignment="1">
      <alignment vertical="top" wrapText="1"/>
    </xf>
    <xf numFmtId="0" fontId="17" fillId="0" borderId="0" xfId="0" applyFont="1"/>
    <xf numFmtId="0" fontId="18" fillId="14" borderId="21" xfId="1" applyFont="1" applyFill="1" applyBorder="1" applyAlignment="1">
      <alignment horizontal="left" vertical="top" wrapText="1"/>
    </xf>
    <xf numFmtId="0" fontId="18" fillId="0" borderId="13" xfId="1" applyFont="1" applyBorder="1" applyAlignment="1">
      <alignment horizontal="left" vertical="top" wrapText="1"/>
    </xf>
    <xf numFmtId="0" fontId="18" fillId="0" borderId="12" xfId="1" applyFont="1" applyBorder="1" applyAlignment="1">
      <alignment horizontal="left" vertical="top" wrapText="1"/>
    </xf>
    <xf numFmtId="0" fontId="0" fillId="17" borderId="0" xfId="0" applyFill="1"/>
    <xf numFmtId="0" fontId="19" fillId="12" borderId="26" xfId="0" applyFont="1" applyFill="1" applyBorder="1" applyAlignment="1">
      <alignment wrapText="1"/>
    </xf>
    <xf numFmtId="0" fontId="19" fillId="13" borderId="26" xfId="0" applyFont="1" applyFill="1" applyBorder="1" applyAlignment="1">
      <alignment wrapText="1"/>
    </xf>
    <xf numFmtId="49" fontId="0" fillId="0" borderId="0" xfId="0" applyNumberFormat="1"/>
    <xf numFmtId="0" fontId="0" fillId="0" borderId="0" xfId="0" quotePrefix="1" applyAlignment="1">
      <alignment wrapText="1"/>
    </xf>
    <xf numFmtId="0" fontId="0" fillId="0" borderId="0" xfId="0" quotePrefix="1"/>
    <xf numFmtId="164" fontId="0" fillId="0" borderId="0" xfId="0" applyNumberFormat="1"/>
    <xf numFmtId="0" fontId="0" fillId="0" borderId="0" xfId="0" applyAlignment="1">
      <alignment textRotation="90"/>
    </xf>
    <xf numFmtId="0" fontId="0" fillId="0" borderId="0" xfId="0" applyAlignment="1">
      <alignment horizontal="left" textRotation="90" wrapText="1"/>
    </xf>
    <xf numFmtId="0" fontId="20" fillId="0" borderId="0" xfId="0" applyFont="1" applyAlignment="1">
      <alignment vertical="top" wrapText="1"/>
    </xf>
    <xf numFmtId="0" fontId="15" fillId="16" borderId="23" xfId="1" applyFont="1" applyFill="1" applyBorder="1" applyAlignment="1">
      <alignment horizontal="left" wrapText="1"/>
    </xf>
    <xf numFmtId="0" fontId="15" fillId="16" borderId="24" xfId="0" applyFont="1" applyFill="1" applyBorder="1" applyAlignment="1">
      <alignment horizontal="left" wrapText="1"/>
    </xf>
    <xf numFmtId="0" fontId="0" fillId="15" borderId="22" xfId="0" applyFill="1" applyBorder="1" applyAlignment="1">
      <alignment horizontal="right" wrapText="1"/>
    </xf>
    <xf numFmtId="0" fontId="1" fillId="20" borderId="22" xfId="0" applyFont="1" applyFill="1" applyBorder="1" applyAlignment="1">
      <alignment wrapText="1"/>
    </xf>
    <xf numFmtId="0" fontId="0" fillId="19" borderId="22" xfId="0" applyFill="1" applyBorder="1" applyAlignment="1">
      <alignment wrapText="1"/>
    </xf>
    <xf numFmtId="0" fontId="0" fillId="0" borderId="0" xfId="0" applyAlignment="1">
      <alignment horizontal="center" wrapText="1"/>
    </xf>
    <xf numFmtId="0" fontId="21" fillId="0" borderId="0" xfId="0" applyFont="1" applyAlignment="1">
      <alignment vertical="center"/>
    </xf>
    <xf numFmtId="0" fontId="14" fillId="8" borderId="0" xfId="0" applyFont="1" applyFill="1"/>
    <xf numFmtId="0" fontId="0" fillId="8" borderId="0" xfId="0" applyFill="1"/>
    <xf numFmtId="0" fontId="1" fillId="14" borderId="0" xfId="0" applyFont="1" applyFill="1" applyAlignment="1">
      <alignment vertical="top" wrapText="1"/>
    </xf>
    <xf numFmtId="0" fontId="11" fillId="18" borderId="8" xfId="0" applyFont="1" applyFill="1" applyBorder="1" applyAlignment="1">
      <alignment horizontal="left" vertical="center" wrapText="1"/>
    </xf>
    <xf numFmtId="0" fontId="11" fillId="18" borderId="10" xfId="0" applyFont="1" applyFill="1" applyBorder="1" applyAlignment="1">
      <alignment horizontal="left" vertical="center" wrapText="1"/>
    </xf>
    <xf numFmtId="0" fontId="5" fillId="18" borderId="2" xfId="0" applyFont="1" applyFill="1" applyBorder="1" applyAlignment="1">
      <alignment horizontal="left" vertical="center" wrapText="1"/>
    </xf>
    <xf numFmtId="0" fontId="0" fillId="18" borderId="4" xfId="0" applyFill="1" applyBorder="1" applyAlignment="1">
      <alignment vertical="top" wrapText="1"/>
    </xf>
    <xf numFmtId="0" fontId="5" fillId="18" borderId="4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left" vertical="center" wrapText="1"/>
    </xf>
    <xf numFmtId="0" fontId="11" fillId="8" borderId="10" xfId="0" applyFont="1" applyFill="1" applyBorder="1" applyAlignment="1">
      <alignment horizontal="left" vertical="center" wrapText="1"/>
    </xf>
    <xf numFmtId="0" fontId="4" fillId="8" borderId="0" xfId="0" applyFont="1" applyFill="1"/>
    <xf numFmtId="0" fontId="9" fillId="8" borderId="8" xfId="0" applyFont="1" applyFill="1" applyBorder="1" applyAlignment="1">
      <alignment horizontal="left" vertical="center" wrapText="1"/>
    </xf>
    <xf numFmtId="0" fontId="9" fillId="8" borderId="10" xfId="0" applyFont="1" applyFill="1" applyBorder="1" applyAlignment="1">
      <alignment horizontal="left" vertical="center" wrapText="1"/>
    </xf>
    <xf numFmtId="0" fontId="0" fillId="14" borderId="11" xfId="0" applyFill="1" applyBorder="1" applyAlignment="1">
      <alignment vertical="top" wrapText="1"/>
    </xf>
    <xf numFmtId="0" fontId="0" fillId="28" borderId="11" xfId="0" applyFill="1" applyBorder="1" applyAlignment="1">
      <alignment vertical="top" wrapText="1"/>
    </xf>
    <xf numFmtId="0" fontId="2" fillId="27" borderId="11" xfId="0" applyFont="1" applyFill="1" applyBorder="1" applyAlignment="1">
      <alignment vertical="top"/>
    </xf>
    <xf numFmtId="0" fontId="0" fillId="26" borderId="11" xfId="0" applyFill="1" applyBorder="1" applyAlignment="1">
      <alignment vertical="top"/>
    </xf>
    <xf numFmtId="0" fontId="0" fillId="29" borderId="11" xfId="0" applyFill="1" applyBorder="1" applyAlignment="1">
      <alignment vertical="top" wrapText="1"/>
    </xf>
    <xf numFmtId="0" fontId="0" fillId="30" borderId="11" xfId="0" applyFill="1" applyBorder="1" applyAlignment="1">
      <alignment vertical="top"/>
    </xf>
    <xf numFmtId="0" fontId="0" fillId="18" borderId="7" xfId="0" applyFill="1" applyBorder="1"/>
    <xf numFmtId="0" fontId="0" fillId="31" borderId="16" xfId="0" applyFill="1" applyBorder="1"/>
    <xf numFmtId="0" fontId="13" fillId="18" borderId="9" xfId="0" applyFont="1" applyFill="1" applyBorder="1"/>
    <xf numFmtId="0" fontId="0" fillId="18" borderId="8" xfId="0" applyFill="1" applyBorder="1"/>
    <xf numFmtId="0" fontId="13" fillId="31" borderId="8" xfId="0" applyFont="1" applyFill="1" applyBorder="1"/>
    <xf numFmtId="0" fontId="0" fillId="32" borderId="8" xfId="0" applyFill="1" applyBorder="1"/>
    <xf numFmtId="0" fontId="0" fillId="18" borderId="0" xfId="0" applyFill="1"/>
    <xf numFmtId="0" fontId="16" fillId="18" borderId="0" xfId="0" applyFont="1" applyFill="1"/>
    <xf numFmtId="0" fontId="0" fillId="0" borderId="0" xfId="0" applyAlignment="1">
      <alignment horizontal="center" vertical="top" wrapText="1"/>
    </xf>
    <xf numFmtId="0" fontId="0" fillId="28" borderId="14" xfId="0" applyFill="1" applyBorder="1" applyAlignment="1">
      <alignment horizontal="center" textRotation="90"/>
    </xf>
    <xf numFmtId="0" fontId="11" fillId="18" borderId="11" xfId="0" applyFont="1" applyFill="1" applyBorder="1" applyAlignment="1">
      <alignment horizontal="left" vertical="center" wrapText="1"/>
    </xf>
    <xf numFmtId="0" fontId="11" fillId="18" borderId="22" xfId="0" applyFont="1" applyFill="1" applyBorder="1" applyAlignment="1">
      <alignment horizontal="left" vertical="center" wrapText="1"/>
    </xf>
    <xf numFmtId="0" fontId="11" fillId="33" borderId="11" xfId="0" applyFont="1" applyFill="1" applyBorder="1" applyAlignment="1">
      <alignment horizontal="left" vertical="center" wrapText="1"/>
    </xf>
    <xf numFmtId="0" fontId="9" fillId="18" borderId="22" xfId="0" applyFont="1" applyFill="1" applyBorder="1" applyAlignment="1">
      <alignment horizontal="left" vertical="center" wrapText="1"/>
    </xf>
    <xf numFmtId="0" fontId="9" fillId="18" borderId="11" xfId="0" applyFont="1" applyFill="1" applyBorder="1" applyAlignment="1">
      <alignment horizontal="left" vertical="center" wrapText="1"/>
    </xf>
    <xf numFmtId="0" fontId="9" fillId="33" borderId="11" xfId="0" applyFont="1" applyFill="1" applyBorder="1" applyAlignment="1">
      <alignment horizontal="left" vertical="center" wrapText="1"/>
    </xf>
    <xf numFmtId="0" fontId="0" fillId="6" borderId="0" xfId="0" applyFill="1" applyAlignment="1">
      <alignment vertical="top"/>
    </xf>
    <xf numFmtId="0" fontId="0" fillId="34" borderId="11" xfId="0" applyFill="1" applyBorder="1" applyAlignment="1">
      <alignment vertical="top" wrapText="1"/>
    </xf>
    <xf numFmtId="0" fontId="0" fillId="35" borderId="22" xfId="0" applyFill="1" applyBorder="1" applyAlignment="1">
      <alignment vertical="top"/>
    </xf>
    <xf numFmtId="0" fontId="0" fillId="35" borderId="11" xfId="0" applyFill="1" applyBorder="1" applyAlignment="1">
      <alignment vertical="top"/>
    </xf>
    <xf numFmtId="0" fontId="0" fillId="35" borderId="27" xfId="0" applyFill="1" applyBorder="1" applyAlignment="1">
      <alignment vertical="top"/>
    </xf>
    <xf numFmtId="0" fontId="22" fillId="7" borderId="9" xfId="0" applyFont="1" applyFill="1" applyBorder="1" applyAlignment="1">
      <alignment wrapText="1"/>
    </xf>
    <xf numFmtId="0" fontId="22" fillId="7" borderId="25" xfId="0" applyFont="1" applyFill="1" applyBorder="1" applyAlignment="1">
      <alignment wrapText="1"/>
    </xf>
    <xf numFmtId="0" fontId="22" fillId="15" borderId="25" xfId="0" applyFont="1" applyFill="1" applyBorder="1" applyAlignment="1">
      <alignment wrapText="1"/>
    </xf>
    <xf numFmtId="0" fontId="22" fillId="15" borderId="25" xfId="0" applyFont="1" applyFill="1" applyBorder="1" applyAlignment="1">
      <alignment horizontal="left" wrapText="1"/>
    </xf>
    <xf numFmtId="0" fontId="22" fillId="15" borderId="25" xfId="0" quotePrefix="1" applyFont="1" applyFill="1" applyBorder="1" applyAlignment="1">
      <alignment wrapText="1"/>
    </xf>
    <xf numFmtId="0" fontId="22" fillId="9" borderId="25" xfId="0" applyFont="1" applyFill="1" applyBorder="1" applyAlignment="1">
      <alignment wrapText="1"/>
    </xf>
    <xf numFmtId="0" fontId="22" fillId="10" borderId="25" xfId="0" applyFont="1" applyFill="1" applyBorder="1" applyAlignment="1">
      <alignment wrapText="1"/>
    </xf>
    <xf numFmtId="0" fontId="22" fillId="10" borderId="25" xfId="0" quotePrefix="1" applyFont="1" applyFill="1" applyBorder="1" applyAlignment="1">
      <alignment wrapText="1"/>
    </xf>
    <xf numFmtId="0" fontId="22" fillId="11" borderId="25" xfId="0" applyFont="1" applyFill="1" applyBorder="1" applyAlignment="1">
      <alignment wrapText="1"/>
    </xf>
    <xf numFmtId="0" fontId="22" fillId="13" borderId="25" xfId="0" applyFont="1" applyFill="1" applyBorder="1" applyAlignment="1">
      <alignment horizontal="center" wrapText="1"/>
    </xf>
    <xf numFmtId="0" fontId="22" fillId="14" borderId="10" xfId="0" applyFont="1" applyFill="1" applyBorder="1" applyAlignment="1">
      <alignment wrapText="1"/>
    </xf>
    <xf numFmtId="0" fontId="1" fillId="0" borderId="25" xfId="0" applyFont="1" applyBorder="1" applyAlignment="1">
      <alignment wrapText="1"/>
    </xf>
    <xf numFmtId="0" fontId="0" fillId="8" borderId="9" xfId="0" applyFill="1" applyBorder="1" applyAlignment="1">
      <alignment wrapText="1"/>
    </xf>
    <xf numFmtId="0" fontId="0" fillId="8" borderId="10" xfId="0" applyFill="1" applyBorder="1" applyAlignment="1">
      <alignment wrapText="1"/>
    </xf>
    <xf numFmtId="0" fontId="0" fillId="7" borderId="0" xfId="0" applyFill="1" applyAlignment="1">
      <alignment wrapText="1"/>
    </xf>
    <xf numFmtId="0" fontId="0" fillId="15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4" borderId="0" xfId="0" applyFill="1" applyAlignment="1">
      <alignment wrapText="1"/>
    </xf>
    <xf numFmtId="0" fontId="1" fillId="15" borderId="0" xfId="0" applyFont="1" applyFill="1" applyAlignment="1">
      <alignment wrapText="1"/>
    </xf>
    <xf numFmtId="0" fontId="1" fillId="10" borderId="0" xfId="0" applyFont="1" applyFill="1" applyAlignment="1">
      <alignment wrapText="1"/>
    </xf>
    <xf numFmtId="0" fontId="0" fillId="7" borderId="22" xfId="0" applyFill="1" applyBorder="1" applyAlignment="1">
      <alignment wrapText="1"/>
    </xf>
    <xf numFmtId="0" fontId="0" fillId="24" borderId="22" xfId="0" applyFill="1" applyBorder="1" applyAlignment="1">
      <alignment wrapText="1"/>
    </xf>
    <xf numFmtId="0" fontId="0" fillId="15" borderId="22" xfId="0" applyFill="1" applyBorder="1" applyAlignment="1">
      <alignment wrapText="1"/>
    </xf>
    <xf numFmtId="0" fontId="0" fillId="9" borderId="22" xfId="0" applyFill="1" applyBorder="1" applyAlignment="1">
      <alignment wrapText="1"/>
    </xf>
    <xf numFmtId="0" fontId="0" fillId="25" borderId="22" xfId="0" applyFill="1" applyBorder="1" applyAlignment="1">
      <alignment wrapText="1"/>
    </xf>
    <xf numFmtId="0" fontId="0" fillId="23" borderId="22" xfId="0" applyFill="1" applyBorder="1" applyAlignment="1">
      <alignment wrapText="1"/>
    </xf>
    <xf numFmtId="0" fontId="0" fillId="10" borderId="22" xfId="0" applyFill="1" applyBorder="1" applyAlignment="1">
      <alignment wrapText="1"/>
    </xf>
    <xf numFmtId="0" fontId="0" fillId="22" borderId="22" xfId="0" applyFill="1" applyBorder="1" applyAlignment="1">
      <alignment wrapText="1"/>
    </xf>
    <xf numFmtId="0" fontId="0" fillId="12" borderId="22" xfId="0" applyFill="1" applyBorder="1" applyAlignment="1">
      <alignment wrapText="1"/>
    </xf>
    <xf numFmtId="0" fontId="0" fillId="13" borderId="22" xfId="0" applyFill="1" applyBorder="1" applyAlignment="1">
      <alignment wrapText="1"/>
    </xf>
    <xf numFmtId="0" fontId="0" fillId="21" borderId="22" xfId="0" applyFill="1" applyBorder="1" applyAlignment="1">
      <alignment wrapText="1"/>
    </xf>
    <xf numFmtId="0" fontId="0" fillId="7" borderId="11" xfId="0" applyFill="1" applyBorder="1" applyAlignment="1">
      <alignment wrapText="1"/>
    </xf>
    <xf numFmtId="0" fontId="0" fillId="24" borderId="11" xfId="0" applyFill="1" applyBorder="1" applyAlignment="1">
      <alignment wrapText="1"/>
    </xf>
    <xf numFmtId="0" fontId="0" fillId="23" borderId="11" xfId="0" applyFill="1" applyBorder="1" applyAlignment="1">
      <alignment wrapText="1"/>
    </xf>
    <xf numFmtId="0" fontId="0" fillId="10" borderId="11" xfId="0" applyFill="1" applyBorder="1" applyAlignment="1">
      <alignment wrapText="1"/>
    </xf>
    <xf numFmtId="0" fontId="0" fillId="19" borderId="11" xfId="0" applyFill="1" applyBorder="1" applyAlignment="1">
      <alignment wrapText="1"/>
    </xf>
    <xf numFmtId="0" fontId="0" fillId="12" borderId="11" xfId="0" applyFill="1" applyBorder="1" applyAlignment="1">
      <alignment wrapText="1"/>
    </xf>
    <xf numFmtId="0" fontId="0" fillId="20" borderId="11" xfId="0" applyFill="1" applyBorder="1" applyAlignment="1">
      <alignment wrapText="1"/>
    </xf>
    <xf numFmtId="0" fontId="0" fillId="21" borderId="11" xfId="0" applyFill="1" applyBorder="1" applyAlignment="1">
      <alignment wrapText="1"/>
    </xf>
    <xf numFmtId="0" fontId="0" fillId="24" borderId="11" xfId="0" applyFill="1" applyBorder="1"/>
    <xf numFmtId="0" fontId="0" fillId="7" borderId="15" xfId="0" applyFill="1" applyBorder="1" applyAlignment="1">
      <alignment wrapText="1"/>
    </xf>
    <xf numFmtId="0" fontId="0" fillId="7" borderId="20" xfId="0" applyFill="1" applyBorder="1" applyAlignment="1">
      <alignment wrapText="1"/>
    </xf>
    <xf numFmtId="0" fontId="0" fillId="15" borderId="18" xfId="0" applyFill="1" applyBorder="1" applyAlignment="1">
      <alignment wrapText="1"/>
    </xf>
    <xf numFmtId="0" fontId="0" fillId="15" borderId="15" xfId="0" applyFill="1" applyBorder="1" applyAlignment="1">
      <alignment wrapText="1"/>
    </xf>
    <xf numFmtId="0" fontId="0" fillId="15" borderId="15" xfId="0" applyFill="1" applyBorder="1" applyAlignment="1">
      <alignment horizontal="right" wrapText="1"/>
    </xf>
    <xf numFmtId="0" fontId="0" fillId="15" borderId="17" xfId="0" applyFill="1" applyBorder="1" applyAlignment="1">
      <alignment wrapText="1"/>
    </xf>
    <xf numFmtId="0" fontId="0" fillId="9" borderId="19" xfId="0" applyFill="1" applyBorder="1" applyAlignment="1">
      <alignment wrapText="1"/>
    </xf>
    <xf numFmtId="0" fontId="0" fillId="10" borderId="18" xfId="0" applyFill="1" applyBorder="1" applyAlignment="1">
      <alignment wrapText="1"/>
    </xf>
    <xf numFmtId="0" fontId="0" fillId="10" borderId="15" xfId="0" applyFill="1" applyBorder="1" applyAlignment="1">
      <alignment wrapText="1"/>
    </xf>
    <xf numFmtId="0" fontId="0" fillId="10" borderId="17" xfId="0" applyFill="1" applyBorder="1" applyAlignment="1">
      <alignment wrapText="1"/>
    </xf>
    <xf numFmtId="0" fontId="0" fillId="11" borderId="18" xfId="0" applyFill="1" applyBorder="1" applyAlignment="1">
      <alignment wrapText="1"/>
    </xf>
    <xf numFmtId="0" fontId="0" fillId="12" borderId="18" xfId="0" applyFill="1" applyBorder="1" applyAlignment="1">
      <alignment wrapText="1"/>
    </xf>
    <xf numFmtId="0" fontId="0" fillId="12" borderId="15" xfId="0" applyFill="1" applyBorder="1" applyAlignment="1">
      <alignment wrapText="1"/>
    </xf>
    <xf numFmtId="0" fontId="0" fillId="12" borderId="17" xfId="0" applyFill="1" applyBorder="1" applyAlignment="1">
      <alignment wrapText="1"/>
    </xf>
    <xf numFmtId="0" fontId="0" fillId="13" borderId="18" xfId="0" applyFill="1" applyBorder="1" applyAlignment="1">
      <alignment wrapText="1"/>
    </xf>
    <xf numFmtId="0" fontId="0" fillId="13" borderId="15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8" fillId="8" borderId="0" xfId="0" applyFont="1" applyFill="1" applyAlignment="1">
      <alignment horizontal="center" vertical="center" wrapText="1"/>
    </xf>
    <xf numFmtId="0" fontId="0" fillId="36" borderId="22" xfId="0" applyFill="1" applyBorder="1" applyAlignment="1">
      <alignment wrapText="1"/>
    </xf>
    <xf numFmtId="0" fontId="0" fillId="27" borderId="0" xfId="0" applyFill="1" applyAlignment="1">
      <alignment wrapText="1"/>
    </xf>
    <xf numFmtId="0" fontId="0" fillId="27" borderId="18" xfId="0" applyFill="1" applyBorder="1" applyAlignment="1">
      <alignment wrapText="1"/>
    </xf>
    <xf numFmtId="0" fontId="22" fillId="27" borderId="25" xfId="0" applyFont="1" applyFill="1" applyBorder="1" applyAlignment="1">
      <alignment wrapText="1"/>
    </xf>
    <xf numFmtId="0" fontId="0" fillId="37" borderId="22" xfId="0" applyFill="1" applyBorder="1" applyAlignment="1">
      <alignment wrapText="1"/>
    </xf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0" fillId="44" borderId="0" xfId="0" applyFill="1"/>
    <xf numFmtId="0" fontId="23" fillId="0" borderId="0" xfId="0" applyFont="1" applyAlignment="1">
      <alignment vertical="center" wrapText="1"/>
    </xf>
    <xf numFmtId="0" fontId="22" fillId="46" borderId="25" xfId="0" applyFont="1" applyFill="1" applyBorder="1" applyAlignment="1">
      <alignment wrapText="1"/>
    </xf>
    <xf numFmtId="0" fontId="0" fillId="47" borderId="22" xfId="0" applyFill="1" applyBorder="1" applyAlignment="1">
      <alignment wrapText="1"/>
    </xf>
    <xf numFmtId="0" fontId="0" fillId="48" borderId="22" xfId="0" applyFill="1" applyBorder="1" applyAlignment="1">
      <alignment wrapText="1"/>
    </xf>
    <xf numFmtId="0" fontId="0" fillId="46" borderId="20" xfId="0" applyFill="1" applyBorder="1" applyAlignment="1">
      <alignment wrapText="1"/>
    </xf>
    <xf numFmtId="0" fontId="11" fillId="8" borderId="6" xfId="0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horizontal="left" vertical="center" wrapText="1"/>
    </xf>
    <xf numFmtId="0" fontId="11" fillId="8" borderId="30" xfId="0" applyFont="1" applyFill="1" applyBorder="1" applyAlignment="1">
      <alignment horizontal="left" vertical="center" wrapText="1"/>
    </xf>
    <xf numFmtId="0" fontId="11" fillId="8" borderId="16" xfId="0" applyFont="1" applyFill="1" applyBorder="1" applyAlignment="1">
      <alignment horizontal="left" vertical="center" wrapText="1"/>
    </xf>
    <xf numFmtId="0" fontId="24" fillId="8" borderId="6" xfId="0" applyFont="1" applyFill="1" applyBorder="1" applyAlignment="1">
      <alignment horizontal="left" vertical="center" wrapText="1"/>
    </xf>
    <xf numFmtId="0" fontId="0" fillId="31" borderId="5" xfId="0" applyFill="1" applyBorder="1"/>
    <xf numFmtId="0" fontId="23" fillId="0" borderId="0" xfId="0" applyFont="1" applyAlignment="1">
      <alignment horizontal="center" vertical="center" wrapText="1"/>
    </xf>
    <xf numFmtId="0" fontId="0" fillId="14" borderId="6" xfId="0" applyFill="1" applyBorder="1" applyAlignment="1">
      <alignment wrapText="1"/>
    </xf>
    <xf numFmtId="0" fontId="0" fillId="14" borderId="6" xfId="0" applyFill="1" applyBorder="1"/>
    <xf numFmtId="0" fontId="0" fillId="14" borderId="16" xfId="0" applyFill="1" applyBorder="1"/>
    <xf numFmtId="0" fontId="0" fillId="14" borderId="5" xfId="0" applyFill="1" applyBorder="1"/>
    <xf numFmtId="0" fontId="0" fillId="28" borderId="0" xfId="0" applyFill="1" applyAlignment="1">
      <alignment horizontal="center" textRotation="90"/>
    </xf>
    <xf numFmtId="0" fontId="15" fillId="16" borderId="31" xfId="1" applyFont="1" applyFill="1" applyBorder="1" applyAlignment="1">
      <alignment horizontal="left" wrapText="1"/>
    </xf>
    <xf numFmtId="0" fontId="15" fillId="16" borderId="0" xfId="1" applyFont="1" applyFill="1" applyAlignment="1">
      <alignment horizontal="left"/>
    </xf>
    <xf numFmtId="0" fontId="15" fillId="16" borderId="32" xfId="0" applyFont="1" applyFill="1" applyBorder="1" applyAlignment="1">
      <alignment horizontal="left" wrapText="1"/>
    </xf>
    <xf numFmtId="0" fontId="0" fillId="49" borderId="11" xfId="0" applyFill="1" applyBorder="1"/>
    <xf numFmtId="0" fontId="0" fillId="49" borderId="11" xfId="0" applyFill="1" applyBorder="1" applyAlignment="1">
      <alignment wrapText="1"/>
    </xf>
    <xf numFmtId="0" fontId="0" fillId="49" borderId="11" xfId="0" applyFill="1" applyBorder="1" applyAlignment="1">
      <alignment horizontal="center" wrapText="1"/>
    </xf>
    <xf numFmtId="0" fontId="0" fillId="49" borderId="11" xfId="0" applyFill="1" applyBorder="1" applyAlignment="1">
      <alignment horizontal="center"/>
    </xf>
    <xf numFmtId="0" fontId="0" fillId="50" borderId="11" xfId="0" applyFill="1" applyBorder="1" applyAlignment="1">
      <alignment horizontal="center"/>
    </xf>
    <xf numFmtId="0" fontId="0" fillId="50" borderId="11" xfId="0" applyFill="1" applyBorder="1" applyAlignment="1">
      <alignment horizontal="left"/>
    </xf>
    <xf numFmtId="0" fontId="25" fillId="51" borderId="0" xfId="0" applyFont="1" applyFill="1" applyAlignment="1">
      <alignment horizontal="center" textRotation="90"/>
    </xf>
    <xf numFmtId="0" fontId="25" fillId="51" borderId="0" xfId="0" applyFont="1" applyFill="1" applyAlignment="1">
      <alignment horizontal="center" wrapText="1"/>
    </xf>
    <xf numFmtId="0" fontId="0" fillId="52" borderId="0" xfId="0" applyFill="1" applyAlignment="1">
      <alignment horizontal="center" textRotation="90"/>
    </xf>
    <xf numFmtId="0" fontId="0" fillId="14" borderId="27" xfId="0" applyFill="1" applyBorder="1" applyAlignment="1">
      <alignment vertical="top" wrapText="1"/>
    </xf>
    <xf numFmtId="0" fontId="23" fillId="45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top"/>
    </xf>
    <xf numFmtId="0" fontId="27" fillId="8" borderId="0" xfId="0" applyFont="1" applyFill="1"/>
    <xf numFmtId="0" fontId="29" fillId="8" borderId="0" xfId="0" applyFont="1" applyFill="1"/>
    <xf numFmtId="0" fontId="0" fillId="53" borderId="11" xfId="0" applyFill="1" applyBorder="1" applyAlignment="1">
      <alignment vertical="top" wrapText="1"/>
    </xf>
    <xf numFmtId="0" fontId="0" fillId="54" borderId="11" xfId="0" applyFill="1" applyBorder="1" applyAlignment="1">
      <alignment vertical="top" wrapText="1"/>
    </xf>
    <xf numFmtId="0" fontId="0" fillId="53" borderId="22" xfId="0" applyFill="1" applyBorder="1" applyAlignment="1">
      <alignment vertical="top" wrapText="1"/>
    </xf>
    <xf numFmtId="0" fontId="0" fillId="53" borderId="27" xfId="0" applyFill="1" applyBorder="1" applyAlignment="1">
      <alignment vertical="top" wrapText="1"/>
    </xf>
    <xf numFmtId="0" fontId="0" fillId="31" borderId="8" xfId="0" applyFill="1" applyBorder="1"/>
    <xf numFmtId="0" fontId="0" fillId="55" borderId="11" xfId="0" applyFill="1" applyBorder="1" applyAlignment="1">
      <alignment vertical="top" wrapText="1"/>
    </xf>
    <xf numFmtId="0" fontId="0" fillId="56" borderId="11" xfId="0" applyFill="1" applyBorder="1" applyAlignment="1">
      <alignment vertical="top" wrapText="1"/>
    </xf>
    <xf numFmtId="0" fontId="0" fillId="57" borderId="11" xfId="0" applyFill="1" applyBorder="1" applyAlignment="1">
      <alignment vertical="top" wrapText="1"/>
    </xf>
    <xf numFmtId="0" fontId="0" fillId="45" borderId="11" xfId="0" applyFill="1" applyBorder="1" applyAlignment="1">
      <alignment vertical="top"/>
    </xf>
    <xf numFmtId="0" fontId="0" fillId="45" borderId="11" xfId="0" applyFill="1" applyBorder="1" applyAlignment="1">
      <alignment vertical="top" wrapText="1"/>
    </xf>
    <xf numFmtId="0" fontId="0" fillId="58" borderId="22" xfId="0" applyFill="1" applyBorder="1" applyAlignment="1">
      <alignment wrapText="1"/>
    </xf>
    <xf numFmtId="0" fontId="0" fillId="15" borderId="34" xfId="0" applyFill="1" applyBorder="1" applyAlignment="1">
      <alignment wrapText="1"/>
    </xf>
    <xf numFmtId="0" fontId="0" fillId="45" borderId="22" xfId="0" applyFill="1" applyBorder="1" applyAlignment="1">
      <alignment vertical="top"/>
    </xf>
    <xf numFmtId="0" fontId="0" fillId="45" borderId="22" xfId="0" applyFill="1" applyBorder="1" applyAlignment="1">
      <alignment vertical="top" wrapText="1"/>
    </xf>
    <xf numFmtId="0" fontId="0" fillId="54" borderId="22" xfId="0" applyFill="1" applyBorder="1" applyAlignment="1">
      <alignment vertical="top" wrapText="1"/>
    </xf>
    <xf numFmtId="0" fontId="0" fillId="0" borderId="9" xfId="0" applyBorder="1" applyAlignment="1">
      <alignment horizontal="center" vertical="top" wrapText="1"/>
    </xf>
    <xf numFmtId="0" fontId="0" fillId="57" borderId="26" xfId="0" applyFill="1" applyBorder="1" applyAlignment="1">
      <alignment vertical="top" wrapText="1"/>
    </xf>
    <xf numFmtId="0" fontId="0" fillId="0" borderId="25" xfId="0" applyBorder="1" applyAlignment="1">
      <alignment horizontal="center" vertical="top"/>
    </xf>
    <xf numFmtId="0" fontId="0" fillId="57" borderId="35" xfId="0" applyFill="1" applyBorder="1" applyAlignment="1">
      <alignment vertical="top" wrapText="1"/>
    </xf>
    <xf numFmtId="0" fontId="23" fillId="45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/>
    <xf numFmtId="0" fontId="13" fillId="0" borderId="0" xfId="0" applyFont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0" fillId="7" borderId="0" xfId="0" applyFill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6" borderId="0" xfId="0" applyFill="1" applyAlignment="1">
      <alignment horizontal="center" vertical="top"/>
    </xf>
    <xf numFmtId="0" fontId="0" fillId="18" borderId="3" xfId="0" applyFill="1" applyBorder="1" applyAlignment="1">
      <alignment horizontal="center"/>
    </xf>
    <xf numFmtId="0" fontId="0" fillId="0" borderId="3" xfId="0" applyBorder="1"/>
    <xf numFmtId="0" fontId="0" fillId="17" borderId="9" xfId="0" applyFill="1" applyBorder="1" applyAlignment="1">
      <alignment horizontal="center"/>
    </xf>
    <xf numFmtId="0" fontId="0" fillId="17" borderId="25" xfId="0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33" xfId="0" applyFill="1" applyBorder="1" applyAlignment="1">
      <alignment horizontal="center"/>
    </xf>
    <xf numFmtId="0" fontId="0" fillId="18" borderId="30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0" fontId="0" fillId="59" borderId="9" xfId="0" applyFill="1" applyBorder="1" applyAlignment="1">
      <alignment horizontal="center"/>
    </xf>
    <xf numFmtId="0" fontId="0" fillId="59" borderId="25" xfId="0" applyFill="1" applyBorder="1" applyAlignment="1">
      <alignment horizontal="center"/>
    </xf>
    <xf numFmtId="0" fontId="0" fillId="59" borderId="10" xfId="0" applyFill="1" applyBorder="1" applyAlignment="1">
      <alignment horizontal="center"/>
    </xf>
    <xf numFmtId="0" fontId="0" fillId="13" borderId="3" xfId="0" applyFill="1" applyBorder="1" applyAlignment="1">
      <alignment horizont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10" borderId="28" xfId="0" applyFont="1" applyFill="1" applyBorder="1" applyAlignment="1">
      <alignment horizontal="center" wrapText="1"/>
    </xf>
    <xf numFmtId="0" fontId="0" fillId="0" borderId="29" xfId="0" applyBorder="1"/>
    <xf numFmtId="0" fontId="0" fillId="0" borderId="28" xfId="0" applyBorder="1"/>
    <xf numFmtId="0" fontId="1" fillId="12" borderId="29" xfId="0" applyFont="1" applyFill="1" applyBorder="1" applyAlignment="1">
      <alignment horizontal="center" wrapText="1"/>
    </xf>
    <xf numFmtId="0" fontId="1" fillId="9" borderId="3" xfId="0" applyFont="1" applyFill="1" applyBorder="1" applyAlignment="1">
      <alignment horizontal="center" wrapText="1"/>
    </xf>
    <xf numFmtId="0" fontId="1" fillId="15" borderId="3" xfId="0" applyFont="1" applyFill="1" applyBorder="1" applyAlignment="1">
      <alignment horizontal="center" wrapText="1"/>
    </xf>
    <xf numFmtId="0" fontId="1" fillId="15" borderId="0" xfId="0" applyFont="1" applyFill="1" applyAlignment="1">
      <alignment horizontal="center" wrapText="1"/>
    </xf>
    <xf numFmtId="0" fontId="0" fillId="15" borderId="15" xfId="0" applyFill="1" applyBorder="1" applyAlignment="1">
      <alignment wrapText="1"/>
    </xf>
    <xf numFmtId="0" fontId="0" fillId="15" borderId="15" xfId="0" applyFill="1" applyBorder="1" applyAlignment="1">
      <alignment horizontal="right" wrapText="1"/>
    </xf>
    <xf numFmtId="0" fontId="0" fillId="15" borderId="0" xfId="0" applyFill="1" applyAlignment="1">
      <alignment wrapText="1"/>
    </xf>
    <xf numFmtId="0" fontId="0" fillId="15" borderId="0" xfId="0" applyFill="1" applyAlignment="1">
      <alignment horizontal="right" wrapText="1"/>
    </xf>
    <xf numFmtId="0" fontId="1" fillId="11" borderId="3" xfId="0" applyFont="1" applyFill="1" applyBorder="1" applyAlignment="1">
      <alignment horizontal="center" wrapText="1"/>
    </xf>
    <xf numFmtId="0" fontId="0" fillId="11" borderId="18" xfId="0" applyFill="1" applyBorder="1" applyAlignment="1">
      <alignment wrapText="1"/>
    </xf>
    <xf numFmtId="0" fontId="0" fillId="11" borderId="0" xfId="0" applyFill="1" applyAlignment="1">
      <alignment wrapText="1"/>
    </xf>
    <xf numFmtId="0" fontId="1" fillId="46" borderId="0" xfId="0" applyFont="1" applyFill="1" applyAlignment="1">
      <alignment horizontal="center" wrapText="1"/>
    </xf>
    <xf numFmtId="0" fontId="1" fillId="46" borderId="3" xfId="0" applyFont="1" applyFill="1" applyBorder="1" applyAlignment="1">
      <alignment horizontal="center" wrapText="1"/>
    </xf>
    <xf numFmtId="0" fontId="11" fillId="8" borderId="6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6" xfId="0" applyBorder="1"/>
    <xf numFmtId="0" fontId="11" fillId="8" borderId="8" xfId="0" applyFont="1" applyFill="1" applyBorder="1" applyAlignment="1">
      <alignment horizontal="left" vertical="center" wrapText="1"/>
    </xf>
    <xf numFmtId="0" fontId="8" fillId="8" borderId="0" xfId="0" applyFont="1" applyFill="1" applyAlignment="1">
      <alignment horizontal="center" vertical="center" wrapText="1"/>
    </xf>
    <xf numFmtId="0" fontId="9" fillId="8" borderId="0" xfId="0" applyFont="1" applyFill="1" applyAlignment="1">
      <alignment horizontal="center" vertical="center" textRotation="90" wrapText="1"/>
    </xf>
    <xf numFmtId="0" fontId="0" fillId="8" borderId="3" xfId="0" applyFill="1" applyBorder="1" applyAlignment="1">
      <alignment horizontal="center"/>
    </xf>
    <xf numFmtId="0" fontId="0" fillId="8" borderId="2" xfId="0" applyFill="1" applyBorder="1" applyAlignment="1">
      <alignment horizontal="center" textRotation="90"/>
    </xf>
    <xf numFmtId="0" fontId="0" fillId="0" borderId="2" xfId="0" applyBorder="1"/>
  </cellXfs>
  <cellStyles count="5">
    <cellStyle name="40 % - Akzent1 2" xfId="4" xr:uid="{00000000-0005-0000-0000-000004000000}"/>
    <cellStyle name="Neutral 2" xfId="2" xr:uid="{00000000-0005-0000-0000-000002000000}"/>
    <cellStyle name="Schlecht 2" xfId="3" xr:uid="{00000000-0005-0000-0000-000003000000}"/>
    <cellStyle name="Standard" xfId="0" builtinId="0"/>
    <cellStyle name="Standard 2" xfId="1" xr:uid="{00000000-0005-0000-0000-000001000000}"/>
  </cellStyles>
  <dxfs count="241"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numFmt numFmtId="0" formatCode="General"/>
      <fill>
        <patternFill>
          <fgColor indexed="64"/>
          <bgColor auto="1"/>
        </patternFill>
      </fill>
    </dxf>
    <dxf>
      <numFmt numFmtId="0" formatCode="General"/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numFmt numFmtId="0" formatCode="General"/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>
          <fgColor indexed="64"/>
          <bgColor indexed="65"/>
        </patternFill>
      </fill>
      <alignment horizontal="left" vertical="top" wrapText="1"/>
      <border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>
          <fgColor indexed="64"/>
          <bgColor indexed="65"/>
        </patternFill>
      </fill>
      <alignment horizontal="left" vertical="top" wrapText="1"/>
    </dxf>
    <dxf>
      <border outline="0">
        <bottom style="thin">
          <color indexed="64"/>
        </bottom>
      </border>
    </dxf>
    <dxf>
      <font>
        <strike val="0"/>
        <condense val="0"/>
        <extend val="0"/>
        <outline val="0"/>
        <shadow val="0"/>
        <vertAlign val="baseline"/>
        <sz val="10"/>
        <color auto="1"/>
        <name val="Arial"/>
        <family val="2"/>
      </font>
      <fill>
        <patternFill patternType="solid">
          <fgColor indexed="64"/>
          <bgColor theme="0" tint="-0.14999847407452621"/>
        </patternFill>
      </fill>
      <alignment horizontal="left" vertical="top" wrapText="1"/>
    </dxf>
    <dxf>
      <numFmt numFmtId="164" formatCode="dd/mm/yyyy;@"/>
    </dxf>
    <dxf>
      <numFmt numFmtId="30" formatCode="@"/>
    </dxf>
    <dxf>
      <alignment horizontal="general" vertical="bottom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theme="0" tint="-0.14999847407452621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C9E7A7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C9E7A7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6969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6969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6969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6969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6969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theme="4" tint="-0.249977111117893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B382D8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auto="1"/>
          <bgColor rgb="FFB382D8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solid">
          <fgColor indexed="64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FF8B8B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DEC8EE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DEC8EE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FF8B8B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right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FFB7B7"/>
        </patternFill>
      </fill>
      <alignment horizontal="general" vertical="bottom" wrapText="1"/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FF8B8B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theme="2"/>
          <bgColor rgb="FFFFB7B7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FF8B8B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theme="2"/>
          <bgColor rgb="FFFFB7B7"/>
        </patternFill>
      </fill>
      <alignment horizontal="general" vertical="bottom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theme="2"/>
          <bgColor rgb="FF9999FF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numFmt numFmtId="0" formatCode="General"/>
      <fill>
        <patternFill patternType="darkGray">
          <fgColor theme="2"/>
          <bgColor rgb="FF9999FF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65D7FF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fill>
        <patternFill patternType="darkGray">
          <fgColor theme="2"/>
          <bgColor rgb="FF65D7FF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65D7FF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fill>
        <patternFill patternType="solid">
          <fgColor indexed="64"/>
          <bgColor rgb="FF65D7FF"/>
        </patternFill>
      </fill>
      <alignment horizontal="general" vertical="bottom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border>
        <bottom style="medium">
          <color indexed="64"/>
        </bottom>
      </border>
    </dxf>
    <dxf>
      <font>
        <strike val="0"/>
        <outline val="0"/>
        <shadow val="0"/>
        <vertAlign val="baseline"/>
        <sz val="11"/>
        <color theme="1" tint="0.14999847407452621"/>
        <name val="Calibri"/>
        <family val="2"/>
        <scheme val="minor"/>
      </font>
      <border outline="0">
        <left/>
        <right/>
        <top/>
        <bottom/>
      </border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fill>
        <patternFill>
          <fgColor indexed="64"/>
          <bgColor auto="1"/>
        </patternFill>
      </fill>
    </dxf>
    <dxf>
      <numFmt numFmtId="0" formatCode="General"/>
      <alignment horizontal="general" vertical="bottom" wrapText="1"/>
    </dxf>
    <dxf>
      <alignment horizontal="general" vertical="bottom" wrapText="1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 outline="0">
        <left style="thin">
          <color indexed="64"/>
        </left>
        <right/>
      </border>
    </dxf>
    <dxf>
      <fill>
        <patternFill patternType="mediumGray">
          <fgColor theme="0"/>
          <bgColor theme="7" tint="0.39997558519241921"/>
        </patternFill>
      </fill>
      <alignment horizontal="left" vertical="bottom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mediumGray">
          <fgColor theme="0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wrapText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alignment horizontal="general" vertical="bottom" wrapText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 patternType="darkGray">
          <fgColor theme="2"/>
          <bgColor theme="0" tint="-0.249977111117893"/>
        </patternFill>
      </fill>
      <alignment horizontal="general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solid">
          <fgColor theme="2"/>
          <bgColor theme="9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theme="7" tint="0.5999938962981048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darkGray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darkGray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darkGray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FF000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rgb="FFFF0000"/>
        </patternFill>
      </fill>
      <alignment horizontal="general" vertical="top" wrapText="1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theme="9" tint="0.5999938962981048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darkGray">
          <fgColor theme="2"/>
          <bgColor theme="4" tint="0.59999389629810485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0.14999847407452621"/>
        </patternFill>
      </fill>
      <alignment horizontal="general" vertical="top" wrapText="1"/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4" formatCode="dd/mm/yyyy;@"/>
    </dxf>
    <dxf>
      <numFmt numFmtId="30" formatCode="@"/>
    </dxf>
    <dxf>
      <alignment horizontal="general" vertical="bottom"/>
    </dxf>
  </dxfs>
  <tableStyles count="0" defaultTableStyle="TableStyleMedium2" defaultPivotStyle="PivotStyleLight16"/>
  <colors>
    <mruColors>
      <color rgb="FFCC00FF"/>
      <color rgb="FF9999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3</xdr:row>
      <xdr:rowOff>304800</xdr:rowOff>
    </xdr:to>
    <xdr:sp macro="" textlink="">
      <xdr:nvSpPr>
        <xdr:cNvPr id="1025" name="AutoShape 1" descr="Von Prompt generiert">
          <a:extLst>
            <a:ext uri="{FF2B5EF4-FFF2-40B4-BE49-F238E27FC236}">
              <a16:creationId xmlns:a16="http://schemas.microsoft.com/office/drawing/2014/main" id="{21AA71E8-FB66-77DF-72A6-026D2587D903}"/>
            </a:ext>
          </a:extLst>
        </xdr:cNvPr>
        <xdr:cNvSpPr>
          <a:spLocks noChangeAspect="1" noChangeArrowheads="1"/>
        </xdr:cNvSpPr>
      </xdr:nvSpPr>
      <xdr:spPr bwMode="auto">
        <a:xfrm>
          <a:off x="1024128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304800</xdr:colOff>
      <xdr:row>4</xdr:row>
      <xdr:rowOff>304800</xdr:rowOff>
    </xdr:to>
    <xdr:sp macro="" textlink="">
      <xdr:nvSpPr>
        <xdr:cNvPr id="1026" name="AutoShape 2" descr="Von Prompt generiert">
          <a:extLst>
            <a:ext uri="{FF2B5EF4-FFF2-40B4-BE49-F238E27FC236}">
              <a16:creationId xmlns:a16="http://schemas.microsoft.com/office/drawing/2014/main" id="{D2A0610C-2FE7-D77B-3A76-15A05F52419C}"/>
            </a:ext>
          </a:extLst>
        </xdr:cNvPr>
        <xdr:cNvSpPr>
          <a:spLocks noChangeAspect="1" noChangeArrowheads="1"/>
        </xdr:cNvSpPr>
      </xdr:nvSpPr>
      <xdr:spPr bwMode="auto">
        <a:xfrm>
          <a:off x="1024128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95249</xdr:colOff>
      <xdr:row>1</xdr:row>
      <xdr:rowOff>0</xdr:rowOff>
    </xdr:from>
    <xdr:to>
      <xdr:col>7</xdr:col>
      <xdr:colOff>742185</xdr:colOff>
      <xdr:row>6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6E65DA-E283-5A22-7F73-CD8181B7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399" y="552450"/>
          <a:ext cx="3028186" cy="2990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bb-my.sharepoint.com/Users/e515274/Downloads/IKT-Minimalstandard-Assessment.Tool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klärung"/>
      <sheetName val="Assessment"/>
      <sheetName val="Resultate"/>
      <sheetName val="Hilfsfunktionen"/>
    </sheetNames>
    <sheetDataSet>
      <sheetData sheetId="0" refreshError="1"/>
      <sheetData sheetId="1" refreshError="1"/>
      <sheetData sheetId="2" refreshError="1"/>
      <sheetData sheetId="3">
        <row r="6">
          <cell r="A6">
            <v>0</v>
          </cell>
        </row>
        <row r="7">
          <cell r="A7">
            <v>1</v>
          </cell>
        </row>
        <row r="8">
          <cell r="A8">
            <v>2</v>
          </cell>
        </row>
        <row r="9">
          <cell r="A9">
            <v>3</v>
          </cell>
        </row>
        <row r="10">
          <cell r="A10">
            <v>4</v>
          </cell>
        </row>
        <row r="11">
          <cell r="A11" t="str">
            <v>n/a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682" displayName="Tabelle682" ref="A3:D4" totalsRowShown="0" headerRowDxfId="240">
  <autoFilter ref="A3:D4" xr:uid="{00000000-0009-0000-0100-000001000000}"/>
  <tableColumns count="4">
    <tableColumn id="1" xr3:uid="{00000000-0010-0000-0000-000001000000}" name="Document Version" dataDxfId="239"/>
    <tableColumn id="4" xr3:uid="{00000000-0010-0000-0000-000004000000}" name="Date" dataDxfId="238"/>
    <tableColumn id="2" xr3:uid="{00000000-0010-0000-0000-000002000000}" name="Change Description"/>
    <tableColumn id="3" xr3:uid="{00000000-0010-0000-0000-000003000000}" name="Author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Risk_Mapping" displayName="Risk_Mapping" ref="H2:I7" totalsRowShown="0">
  <autoFilter ref="H2:I7" xr:uid="{00000000-0009-0000-0100-000006000000}"/>
  <tableColumns count="2">
    <tableColumn id="1" xr3:uid="{00000000-0010-0000-0500-000001000000}" name="Risk"/>
    <tableColumn id="2" xr3:uid="{00000000-0010-0000-0500-000002000000}" name="Value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Impact_Mapping" displayName="Impact_Mapping" ref="K2:L6" totalsRowShown="0" headerRowDxfId="16" dataDxfId="15">
  <autoFilter ref="K2:L6" xr:uid="{00000000-0009-0000-0100-000007000000}"/>
  <tableColumns count="2">
    <tableColumn id="1" xr3:uid="{00000000-0010-0000-0600-000001000000}" name="Impact" dataDxfId="14"/>
    <tableColumn id="2" xr3:uid="{00000000-0010-0000-0600-000002000000}" name="Value" dataDxfId="13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2C8865B-D827-417A-A510-6FA9C60C0C09}" name="Risk_Mapping_Reverse" displayName="Risk_Mapping_Reverse" ref="H9:I14" totalsRowShown="0">
  <autoFilter ref="H9:I14" xr:uid="{42C8865B-D827-417A-A510-6FA9C60C0C09}"/>
  <tableColumns count="2">
    <tableColumn id="1" xr3:uid="{973E96FB-4F1B-448A-BE1D-EB13F150590E}" name="Value" dataDxfId="12">
      <calculatedColumnFormula>I3</calculatedColumnFormula>
    </tableColumn>
    <tableColumn id="2" xr3:uid="{B1C18536-69EE-4DCB-B51C-6D053DE79759}" name="Risk">
      <calculatedColumnFormula>H3</calculatedColumnFormula>
    </tableColumn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B4F075-4F40-4B1E-9CFE-A0F100BE513F}" name="Impact_Mapping_Reverse" displayName="Impact_Mapping_Reverse" ref="K9:L13" totalsRowShown="0" headerRowDxfId="11" dataDxfId="10">
  <autoFilter ref="K9:L13" xr:uid="{97B4F075-4F40-4B1E-9CFE-A0F100BE513F}"/>
  <tableColumns count="2">
    <tableColumn id="1" xr3:uid="{BB17CF6E-3EBE-4349-83E7-CF15F750F28D}" name="Value" dataDxfId="9">
      <calculatedColumnFormula>L3</calculatedColumnFormula>
    </tableColumn>
    <tableColumn id="2" xr3:uid="{8F018014-5B3A-45DF-94E5-DE30F10A7F46}" name="Impact" dataDxfId="8">
      <calculatedColumnFormula>K3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Attacker_Threat_Zone" displayName="Attacker_Threat_Zone" ref="A5:AH64" totalsRowShown="0" headerRowDxfId="237" headerRowBorderDxfId="236" tableBorderDxfId="235">
  <autoFilter ref="A5:AH64" xr:uid="{00000000-0009-0000-0100-000002000000}"/>
  <tableColumns count="34">
    <tableColumn id="5" xr3:uid="{00000000-0010-0000-0100-000005000000}" name="Threat Name" dataDxfId="234"/>
    <tableColumn id="14" xr3:uid="{00000000-0010-0000-0100-00000E000000}" name="IAC" dataDxfId="233"/>
    <tableColumn id="13" xr3:uid="{00000000-0010-0000-0100-00000D000000}" name="UC" dataDxfId="232"/>
    <tableColumn id="12" xr3:uid="{00000000-0010-0000-0100-00000C000000}" name="SI" dataDxfId="231"/>
    <tableColumn id="6" xr3:uid="{00000000-0010-0000-0100-000006000000}" name="DC" dataDxfId="230"/>
    <tableColumn id="4" xr3:uid="{00000000-0010-0000-0100-000004000000}" name="RDF" dataDxfId="229"/>
    <tableColumn id="3" xr3:uid="{00000000-0010-0000-0100-000003000000}" name="TRE" dataDxfId="228"/>
    <tableColumn id="7" xr3:uid="{00000000-0010-0000-0100-000007000000}" name="RA" dataDxfId="227"/>
    <tableColumn id="29" xr3:uid="{6C22605A-453D-41DA-ACB2-9F753CB756B4}" name="Relevance" dataDxfId="226"/>
    <tableColumn id="10" xr3:uid="{00000000-0010-0000-0100-00000A000000}" name="Exposure" dataDxfId="225"/>
    <tableColumn id="24" xr3:uid="{31FEC6A8-BDAC-47CD-8948-CC7D168D9BAE}" name="Vulnerability" dataDxfId="224"/>
    <tableColumn id="25" xr3:uid="{A9337A48-8EA5-4D19-A814-3892B9EB8F80}" name="Likelihood" dataDxfId="223">
      <calculatedColumnFormula>IF(Attacker_Threat_Zone[[#This Row],[Relevance]]="No"," ",MAX(Attacker_Threat_Zone[[#This Row],[Exposure]]+Attacker_Threat_Zone[[#This Row],[Vulnerability]]-1,1))</calculatedColumnFormula>
    </tableColumn>
    <tableColumn id="8" xr3:uid="{F6074747-D2AF-418D-8150-301761C8D5A1}" name="Impact_x000a_C" dataDxfId="222"/>
    <tableColumn id="2" xr3:uid="{D54EC18D-4A61-4626-AE0F-518531F795B9}" name="Impact_x000a_C-Value" dataDxfId="221">
      <calculatedColumnFormula>IFERROR(VLOOKUP(Attacker_Threat_Zone[[#This Row],[Impact
C]],Impact_Mapping[],2,FALSE),0)</calculatedColumnFormula>
    </tableColumn>
    <tableColumn id="9" xr3:uid="{B1AB1E8E-3A65-4887-8A07-A28E261DB7E4}" name="Impact_x000a_I" dataDxfId="220"/>
    <tableColumn id="11" xr3:uid="{D495BA32-B415-40DB-A692-E911B48B3FB5}" name="Impact_x000a_I -Value" dataDxfId="219">
      <calculatedColumnFormula>IFERROR(VLOOKUP(Attacker_Threat_Zone[[#This Row],[Impact
I]],Impact_Mapping[],2,FALSE),0)</calculatedColumnFormula>
    </tableColumn>
    <tableColumn id="16" xr3:uid="{549D218D-891A-4CBE-8251-22F7E2EF3B31}" name="Impact_x000a_A" dataDxfId="218"/>
    <tableColumn id="15" xr3:uid="{23A1875D-9D57-4E28-9B5D-325EBBEC74FB}" name="Impact_x000a_A-Value" dataDxfId="217">
      <calculatedColumnFormula>IFERROR(VLOOKUP(Attacker_Threat_Zone[[#This Row],[Impact
A]],Impact_Mapping[],2,FALSE),0)</calculatedColumnFormula>
    </tableColumn>
    <tableColumn id="27" xr3:uid="{D80AC112-4A00-4003-9637-360B72D7EA2E}" name="Impact_x000a_Max" dataDxfId="216">
      <calculatedColumnFormula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calculatedColumnFormula>
    </tableColumn>
    <tableColumn id="17" xr3:uid="{9601B8BD-E1E8-4C67-BD17-728673305F30}" name="Risk_x000a_C" dataDxfId="215">
      <calculatedColumnFormula array="1">INDEX(Risk!$C$4:$F$8,Attacker_Threat_Zone[[#This Row],[Likelihood]],VLOOKUP(Attacker_Threat_Zone[[#This Row],[Impact
C]],Impact_Mapping[],2,FALSE))</calculatedColumnFormula>
    </tableColumn>
    <tableColumn id="18" xr3:uid="{09A94214-48C8-4783-B072-9A100CBA4886}" name="Risk_x000a_I" dataDxfId="214">
      <calculatedColumnFormula array="1">INDEX(Risk!$C$4:$F$8,Attacker_Threat_Zone[[#This Row],[Likelihood]],VLOOKUP(Attacker_Threat_Zone[[#This Row],[Impact
I]],Impact_Mapping[],2,FALSE))</calculatedColumnFormula>
    </tableColumn>
    <tableColumn id="19" xr3:uid="{52F84CED-B0C9-45A8-8B09-A19EDC437C4D}" name="Risk_x000a_A" dataDxfId="213">
      <calculatedColumnFormula array="1">INDEX(Risk!$C$4:$F$8,Attacker_Threat_Zone[[#This Row],[Likelihood]],VLOOKUP(Attacker_Threat_Zone[[#This Row],[Impact
A]],Impact_Mapping[],2,FALSE))</calculatedColumnFormula>
    </tableColumn>
    <tableColumn id="20" xr3:uid="{FCDFD8C2-B553-4EA9-9253-639F50FB241A}" name="Risk_x000a_Max" dataDxfId="212">
      <calculatedColumnFormula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calculatedColumnFormula>
    </tableColumn>
    <tableColumn id="21" xr3:uid="{D26FBDB0-3F8D-4795-8C34-402938442C67}" name="SL_x000a_C" dataDxfId="211">
      <calculatedColumnFormula>IF(Attacker_Threat_Zone[[#This Row],[Relevance]]="No"," ",MAX(VLOOKUP(Attacker_Threat_Zone[[#This Row],[Risk
C]],SL_Mapping[],2,FALSE),0))</calculatedColumnFormula>
    </tableColumn>
    <tableColumn id="22" xr3:uid="{9581879D-5B16-49AD-ABA8-9E787746F7C5}" name="SL_x000a_I" dataDxfId="210">
      <calculatedColumnFormula>IF(Attacker_Threat_Zone[[#This Row],[Relevance]]="No"," ",MAX(VLOOKUP(Attacker_Threat_Zone[[#This Row],[Risk
I]],SL_Mapping[],2,FALSE),0))</calculatedColumnFormula>
    </tableColumn>
    <tableColumn id="23" xr3:uid="{F540F9FD-6F56-4D53-88C8-0706E7869580}" name="SL_x000a_A" dataDxfId="209">
      <calculatedColumnFormula>IF(Attacker_Threat_Zone[[#This Row],[Relevance]]="No"," ",MAX(VLOOKUP(Attacker_Threat_Zone[[#This Row],[Risk
A]],SL_Mapping[],2,FALSE),0))</calculatedColumnFormula>
    </tableColumn>
    <tableColumn id="30" xr3:uid="{30A98969-2AD5-494E-9A2E-13951E4DB094}" name="IAC_Value" dataDxfId="208">
      <calculatedColumnFormula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calculatedColumnFormula>
    </tableColumn>
    <tableColumn id="31" xr3:uid="{4BA55BB7-70A9-4F5A-81A8-6D62EE605186}" name="UC_Value" dataDxfId="207">
      <calculatedColumnFormula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calculatedColumnFormula>
    </tableColumn>
    <tableColumn id="32" xr3:uid="{8CBDB2FF-EE20-416B-8FD1-7A571B018939}" name="SI_Value" dataDxfId="206">
      <calculatedColumnFormula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calculatedColumnFormula>
    </tableColumn>
    <tableColumn id="33" xr3:uid="{A1051C98-BD9B-4E55-AEE0-216650403790}" name="DC_Value" dataDxfId="205">
      <calculatedColumnFormula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calculatedColumnFormula>
    </tableColumn>
    <tableColumn id="34" xr3:uid="{49D9BFF0-906D-494E-B473-C17BB5C4EB07}" name="RDF_Value" dataDxfId="204">
      <calculatedColumnFormula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calculatedColumnFormula>
    </tableColumn>
    <tableColumn id="35" xr3:uid="{1C41578D-7B09-406E-99AD-CBE57682B0B6}" name="TRE_Value" dataDxfId="203">
      <calculatedColumnFormula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calculatedColumnFormula>
    </tableColumn>
    <tableColumn id="36" xr3:uid="{5318FEC2-F315-42B0-935A-A52C2118726B}" name="RA_Value" dataDxfId="202">
      <calculatedColumnFormula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calculatedColumnFormula>
    </tableColumn>
    <tableColumn id="1" xr3:uid="{00000000-0010-0000-0100-000001000000}" name="Explanation / Reason why not relevant" dataDxfId="20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7593C43-785C-4C6E-BFE3-85C8AA694A8F}" name="SL_CC_Calc" displayName="SL_CC_Calc" ref="O4:S11" totalsRowShown="0" headerRowDxfId="200">
  <autoFilter ref="O4:S11" xr:uid="{77593C43-785C-4C6E-BFE3-85C8AA694A8F}"/>
  <tableColumns count="5">
    <tableColumn id="1" xr3:uid="{931DAF23-D60F-4C29-A5CB-B3A6F7A9E151}" name="Raw SL-A (P)">
      <calculatedColumnFormula>_xlfn.MINIFS(Measure_62443_3_3[lowest SL-T],Measure_62443_3_3[FR],'SL-T'!D5,Measure_62443_3_3[Requirement Selected (Prefulfilled or Revoked)],"")-1</calculatedColumnFormula>
    </tableColumn>
    <tableColumn id="2" xr3:uid="{85FAA727-D9F4-454E-9DDB-8B962F6972D8}" name="Raw SL-A (P+M)">
      <calculatedColumnFormula>_xlfn.MINIFS(Measure_62443_3_3[lowest SL-T],Measure_62443_3_3[FR],'SL-T'!D5,Measure_62443_3_3[Requirement Selected (Prefulfilled + Mitigating or Revoked)],"")-1</calculatedColumnFormula>
    </tableColumn>
    <tableColumn id="3" xr3:uid="{7597C16F-04A2-418C-AAEA-67BFA95CD46E}" name="Max SL-A">
      <calculatedColumnFormula>_xlfn.MAXIFS(Measure_62443_3_3[lowest SL-T],Measure_62443_3_3[FR],'SL-T'!D5)</calculatedColumnFormula>
    </tableColumn>
    <tableColumn id="4" xr3:uid="{842BACC8-9B71-450A-BCA4-736B63E1DAEA}" name="Max SL-Fulfilled (P)" dataDxfId="199">
      <calculatedColumnFormula>_xlfn.MAXIFS(Measure_62443_3_3[lowest SL-T],Measure_62443_3_3[FR],'SL-T'!D5,Measure_62443_3_3[Requirement Selected (Prefulfilled)],"X")</calculatedColumnFormula>
    </tableColumn>
    <tableColumn id="5" xr3:uid="{F0EF9B64-183B-4DC4-8754-2824C98AC355}" name="Max SL-Fulfilled (P+M)" dataDxfId="198">
      <calculatedColumnFormula>_xlfn.MAXIFS(Measure_62443_3_3[lowest SL-T],Measure_62443_3_3[FR],'SL-T'!D5,Measure_62443_3_3[Requirement Selected (Prefulfilled + Mitigating)],"X")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easure_62443_3_3" displayName="Measure_62443_3_3" ref="A3:BR103" totalsRowShown="0" headerRowBorderDxfId="197" tableBorderDxfId="196">
  <autoFilter ref="A3:BR103" xr:uid="{00000000-0009-0000-0100-000003000000}">
    <filterColumn colId="8">
      <customFilters>
        <customFilter operator="notEqual" val=" "/>
      </customFilters>
    </filterColumn>
  </autoFilter>
  <tableColumns count="70">
    <tableColumn id="1" xr3:uid="{00000000-0010-0000-0200-000001000000}" name="Official ID (62443-3-3 -2013)" dataDxfId="195"/>
    <tableColumn id="2" xr3:uid="{00000000-0010-0000-0200-000002000000}" name="FR" dataDxfId="194"/>
    <tableColumn id="3" xr3:uid="{00000000-0010-0000-0200-000003000000}" name="lowest SL-T" dataDxfId="193"/>
    <tableColumn id="4" xr3:uid="{00000000-0010-0000-0200-000004000000}" name="62443-3-3 2013" dataDxfId="192"/>
    <tableColumn id="53" xr3:uid="{00000000-0010-0000-0200-000035000000}" name="Requirement Selected (Prefulfilled)" dataDxfId="191">
      <calculatedColumnFormula>IF(COUNTIF(Measure_62443_3_3[[#This Row],[G 0.13 Interception of Compromising Interference Signals]:[IND.3.2.3 Insufficient regulations for the use of OT remote maintenance access]],"P")&gt;0,"X","")</calculatedColumnFormula>
    </tableColumn>
    <tableColumn id="58" xr3:uid="{8F6413CA-C607-470A-90B6-00FAFC1E3347}" name="Requirement Selected (Prefulfilled or Revoked)" dataDxfId="190">
      <calculatedColumnFormula>IF(OR(Measure_62443_3_3[[#This Row],[Requirement Selected (Prefulfilled)]]="X",Measure_62443_3_3[[#This Row],[Relevance revoked]]="Yes"),"X","")</calculatedColumnFormula>
    </tableColumn>
    <tableColumn id="54" xr3:uid="{1C991D13-3FA5-49F6-BB84-FB4029073EE8}" name="Requirement Selected (Prefulfilled + Mitigating)" dataDxfId="189">
      <calculatedColumnFormula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calculatedColumnFormula>
    </tableColumn>
    <tableColumn id="59" xr3:uid="{F7FE8B50-50A1-4B5F-A2D7-EA2B5435B277}" name="Requirement Selected (Prefulfilled + Mitigating or Revoked)" dataDxfId="188">
      <calculatedColumnFormula>IF(OR(Measure_62443_3_3[[#This Row],[Requirement Selected (Prefulfilled + Mitigating)]]="X",Measure_62443_3_3[[#This Row],[Relevance revoked]]="Yes"),"X","")</calculatedColumnFormula>
    </tableColumn>
    <tableColumn id="5" xr3:uid="{00000000-0010-0000-0200-000005000000}" name="Relevance" dataDxfId="187">
      <calculatedColumnFormula>IF(VLOOKUP(Measure_62443_3_3[[#This Row],[FR]],'SL-T'!$A$5:$B$11,2,FALSE)&gt;=Measure_62443_3_3[[#This Row],[lowest SL-T]],"X","")</calculatedColumnFormula>
    </tableColumn>
    <tableColumn id="56" xr3:uid="{29A5F973-B777-40E4-8C77-065864292DFE}" name="Relevance revoked" dataDxfId="186"/>
    <tableColumn id="55" xr3:uid="{00000000-0010-0000-0200-000037000000}" name="Reason why the SR has not been selected and why it is not relevant." dataDxfId="185"/>
    <tableColumn id="6" xr3:uid="{00000000-0010-0000-0200-000006000000}" name="G 0.13 Interception of Compromising Interference Signals" dataDxfId="184"/>
    <tableColumn id="7" xr3:uid="{00000000-0010-0000-0200-000007000000}" name="G 0.14 Interception of Information / Espionage " dataDxfId="183"/>
    <tableColumn id="8" xr3:uid="{00000000-0010-0000-0200-000008000000}" name="G 0.15 Eavesdropping" dataDxfId="182"/>
    <tableColumn id="9" xr3:uid="{00000000-0010-0000-0200-000009000000}" name="G 0.16 Theft of Devices, Storage Media and Documents" dataDxfId="181"/>
    <tableColumn id="10" xr3:uid="{00000000-0010-0000-0200-00000A000000}" name="G 0.17 Loss of Devices, Storage Media and Documents" dataDxfId="180"/>
    <tableColumn id="11" xr3:uid="{00000000-0010-0000-0200-00000B000000}" name="G 0.19 Disclosure of Sensitive Information" dataDxfId="179"/>
    <tableColumn id="12" xr3:uid="{00000000-0010-0000-0200-00000C000000}" name="G 0.20 Information or Products from an Unreliable Source" dataDxfId="178"/>
    <tableColumn id="13" xr3:uid="{00000000-0010-0000-0200-00000D000000}" name="G 0.21 Manipulation of Hardware or Software" dataDxfId="177"/>
    <tableColumn id="14" xr3:uid="{00000000-0010-0000-0200-00000E000000}" name="G 0.22 Manipulation of Information" dataDxfId="176"/>
    <tableColumn id="15" xr3:uid="{00000000-0010-0000-0200-00000F000000}" name="G 0.23 Unauthorised Access to IT Systems" dataDxfId="175"/>
    <tableColumn id="16" xr3:uid="{00000000-0010-0000-0200-000010000000}" name="G 0.24 Destruction of Devices or Storage Media" dataDxfId="174"/>
    <tableColumn id="17" xr3:uid="{00000000-0010-0000-0200-000011000000}" name="G 0.28 Software Vulnerabilities or Errors" dataDxfId="173"/>
    <tableColumn id="19" xr3:uid="{00000000-0010-0000-0200-000013000000}" name="G 0.30 Unauthorised Use or Administration of Devices and Systems" dataDxfId="172"/>
    <tableColumn id="20" xr3:uid="{00000000-0010-0000-0200-000014000000}" name="G 0.31 Incorrect Use or Administration of Devices and Systems" dataDxfId="171"/>
    <tableColumn id="21" xr3:uid="{00000000-0010-0000-0200-000015000000}" name="G 0.32 Misuse of Authorisation" dataDxfId="170"/>
    <tableColumn id="22" xr3:uid="{00000000-0010-0000-0200-000016000000}" name="G 0.35 Coercion, Blackmail or Corruption" dataDxfId="169"/>
    <tableColumn id="23" xr3:uid="{00000000-0010-0000-0200-000017000000}" name="G 0.36 Identity Theft" dataDxfId="168"/>
    <tableColumn id="24" xr3:uid="{00000000-0010-0000-0200-000018000000}" name="G 0.37 Repudiation of Actions" dataDxfId="167"/>
    <tableColumn id="25" xr3:uid="{00000000-0010-0000-0200-000019000000}" name="G 0.38 Misuse of Personal Information" dataDxfId="166"/>
    <tableColumn id="26" xr3:uid="{00000000-0010-0000-0200-00001A000000}" name="G 0.39 Malware" dataDxfId="165"/>
    <tableColumn id="27" xr3:uid="{00000000-0010-0000-0200-00001B000000}" name="G 0.40 Denial of Service" dataDxfId="164"/>
    <tableColumn id="28" xr3:uid="{00000000-0010-0000-0200-00001C000000}" name="G 0.42 Social Engineering" dataDxfId="163"/>
    <tableColumn id="29" xr3:uid="{00000000-0010-0000-0200-00001D000000}" name="G 0.43 Attack with Specially Crafted Messages" dataDxfId="162"/>
    <tableColumn id="30" xr3:uid="{00000000-0010-0000-0200-00001E000000}" name="G 0.44 Unauthorised Entry to Premises" dataDxfId="161"/>
    <tableColumn id="31" xr3:uid="{00000000-0010-0000-0200-00001F000000}" name="G 0.45 Data Loss" dataDxfId="160"/>
    <tableColumn id="32" xr3:uid="{00000000-0010-0000-0200-000020000000}" name="G 0.46 Loss of Integrity of Sensitive Information" dataDxfId="159"/>
    <tableColumn id="33" xr3:uid="{00000000-0010-0000-0200-000021000000}" name="G 0.47 Harmful Side Effects of IT-Supported Attacks" dataDxfId="158"/>
    <tableColumn id="34" xr3:uid="{00000000-0010-0000-0200-000022000000}" name="IND.1.2 Insufficient integration of OT into the security organisation" dataDxfId="157"/>
    <tableColumn id="35" xr3:uid="{00000000-0010-0000-0200-000023000000}" name="IND.1.3 Insufficient integration of OT into operational processes" dataDxfId="156"/>
    <tableColumn id="36" xr3:uid="{00000000-0010-0000-0200-000024000000}" name="IND.1.4 Insufficient access protection" dataDxfId="155"/>
    <tableColumn id="37" xr3:uid="{00000000-0010-0000-0200-000025000000}" name="IND.1.5 Unsecure project planning process/application development process" dataDxfId="154"/>
    <tableColumn id="38" xr3:uid="{00000000-0010-0000-0200-000026000000}" name="IND.1.6 Unsecure administration concept and remote administration" dataDxfId="153"/>
    <tableColumn id="39" xr3:uid="{00000000-0010-0000-0200-000027000000}" name="IND.1.7 Insufficient monitoring and detection procedures" dataDxfId="152"/>
    <tableColumn id="40" xr3:uid="{00000000-0010-0000-0200-000028000000}" name="IND.1.8 Insufficient test concept" dataDxfId="151"/>
    <tableColumn id="41" xr3:uid="{00000000-0010-0000-0200-000029000000}" name="IND.1.9 Insufficient life cycle concepts" dataDxfId="150"/>
    <tableColumn id="42" xr3:uid="{00000000-0010-0000-0200-00002A000000}" name="IND.1.10 Insufficient security requirements for procurement" dataDxfId="149"/>
    <tableColumn id="43" xr3:uid="{00000000-0010-0000-0200-00002B000000}" name="IND.1.11 Use of unsecure protocols" dataDxfId="148"/>
    <tableColumn id="44" xr3:uid="{00000000-0010-0000-0200-00002C000000}" name="IND.1.12 Insecure configurations of components" dataDxfId="147"/>
    <tableColumn id="45" xr3:uid="{00000000-0010-0000-0200-00002D000000}" name="IND.1.13 Dependencies of OT on IT networks" dataDxfId="146"/>
    <tableColumn id="46" xr3:uid="{00000000-0010-0000-0200-00002E000000}" name="IND.2.1.2 Insufficient user and authorisation management" dataDxfId="145"/>
    <tableColumn id="47" xr3:uid="{00000000-0010-0000-0200-00002F000000}" name="IND.2.1.3 Insufficient logging" dataDxfId="144"/>
    <tableColumn id="48" xr3:uid="{00000000-0010-0000-0200-000030000000}" name="IND.2.1.9 Manipulated firmware" dataDxfId="143"/>
    <tableColumn id="49" xr3:uid="{00000000-0010-0000-0200-000031000000}" name="IND.2.2.1 Incomplete documentation" dataDxfId="142"/>
    <tableColumn id="50" xr3:uid="{00000000-0010-0000-0200-000032000000}" name="IND.3.2.1 Incompletely documented remote maintenance access in the OT" dataDxfId="141"/>
    <tableColumn id="51" xr3:uid="{00000000-0010-0000-0200-000033000000}" name="IND.3.2.2 Insufficient availability due to dependencies on office and building IT" dataDxfId="140"/>
    <tableColumn id="52" xr3:uid="{00000000-0010-0000-0200-000034000000}" name="IND.3.2.3 Insufficient regulations for the use of OT remote maintenance access" dataDxfId="139"/>
    <tableColumn id="57" xr3:uid="{7BA0810E-EAF0-4F75-936C-97E12A65793F}" name="IND.3.2.4 Insufficient human oversight over OT remote maintenance sessions" dataDxfId="138"/>
    <tableColumn id="60" xr3:uid="{60335EB6-6D4E-4FF3-8FB9-26DF680163A3}" name="IND.3.2.5 Direct IP-based access to systems from insecure zones" dataDxfId="137"/>
    <tableColumn id="61" xr3:uid="{C4AFA839-361E-4017-9650-976E5A474CAC}" name="IND.3.2.6 Insecure alternative OT remote maintenance access in the event of faults" dataDxfId="136"/>
    <tableColumn id="62" xr3:uid="{0F472DA3-5445-447D-B531-CF139E60E8D1}" name="IND.3.2.7 Insecure design of OT remote maintenance accesses" dataDxfId="135"/>
    <tableColumn id="63" xr3:uid="{80E425FC-4D78-4EC3-914E-8A2175EBCBF4}" name="IND.3.2.8 Outdated technical concepts for OT remote maintenance access" dataDxfId="134"/>
    <tableColumn id="64" xr3:uid="{C773F664-95B2-4A30-92ED-E6F5C07EA28B}" name="CON.1.1 Insufficient key management for encryption" dataDxfId="133"/>
    <tableColumn id="65" xr3:uid="{6188AC6F-87ED-4974-8905-7EF8502BF4B0}" name="CON.1.8 Compromise of cryptographic keys" dataDxfId="132"/>
    <tableColumn id="66" xr3:uid="{6CB669A9-CD37-4D42-AF7B-113B5730B41A}" name="CON.1.9 Forged certificates" dataDxfId="131"/>
    <tableColumn id="67" xr3:uid="{3D35E5E0-1F96-41DB-ADFA-3A0980606970}" name="CON.3.1 Missing data backup" dataDxfId="130"/>
    <tableColumn id="68" xr3:uid="{533D72E0-A2CA-4606-A1C9-852AA0A97892}" name="CON.3.2 Missing recovery tests" dataDxfId="129"/>
    <tableColumn id="69" xr3:uid="{F29EDA24-0324-471D-B9E3-E3C90322E172}" name="OPS.1.1.3.5 Problems with the automated distribution of patches and changes" dataDxfId="128"/>
    <tableColumn id="70" xr3:uid="{1F5F6E1E-B8FA-4FDF-B4AE-AF79B85E86CD}" name="OPS.1.1.3.6 Insufficient recovery options for patch and change management" dataDxfId="127"/>
    <tableColumn id="71" xr3:uid="{41AE9B02-E74F-4516-B442-ED6ABB5C4FE1}" name="OPS.1.1.3.8 Manipulation of data and tools during patch and change management" dataDxfId="126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Measure_62443_2_1" displayName="Measure_62443_2_1" ref="A3:BJ92" totalsRowShown="0" headerRowBorderDxfId="125" tableBorderDxfId="124">
  <autoFilter ref="A3:BJ92" xr:uid="{00000000-0009-0000-0100-000004000000}"/>
  <tableColumns count="62">
    <tableColumn id="1" xr3:uid="{00000000-0010-0000-0300-000001000000}" name="Official ID (62443-2-1 -2020)"/>
    <tableColumn id="4" xr3:uid="{00000000-0010-0000-0300-000004000000}" name="62443-2-1 2020" dataDxfId="123"/>
    <tableColumn id="53" xr3:uid="{00000000-0010-0000-0300-000035000000}" name="Requirement Selected" dataDxfId="122">
      <calculatedColumnFormula>IF(COUNTIF(Measure_62443_2_1[[#This Row],[G 0.13 Interception of Compromising Interference Signals]:[IND.3.2.3 Insufficient regulations for the use of OT remote maintenance access]],"X")&gt;0,"X","")</calculatedColumnFormula>
    </tableColumn>
    <tableColumn id="6" xr3:uid="{00000000-0010-0000-0300-000006000000}" name="G 0.13 Interception of Compromising Interference Signals" dataDxfId="121"/>
    <tableColumn id="7" xr3:uid="{00000000-0010-0000-0300-000007000000}" name="G 0.14 Interception of Information / Espionage " dataDxfId="120"/>
    <tableColumn id="8" xr3:uid="{00000000-0010-0000-0300-000008000000}" name="G 0.15 Eavesdropping" dataDxfId="119"/>
    <tableColumn id="9" xr3:uid="{00000000-0010-0000-0300-000009000000}" name="G 0.16 Theft of Devices, Storage Media and Documents" dataDxfId="118"/>
    <tableColumn id="10" xr3:uid="{00000000-0010-0000-0300-00000A000000}" name="G 0.17 Loss of Devices, Storage Media and Documents" dataDxfId="117"/>
    <tableColumn id="11" xr3:uid="{00000000-0010-0000-0300-00000B000000}" name="G 0.19 Disclosure of Sensitive Information" dataDxfId="116"/>
    <tableColumn id="12" xr3:uid="{00000000-0010-0000-0300-00000C000000}" name="G 0.20 Information or Products from an Unreliable Source" dataDxfId="115"/>
    <tableColumn id="13" xr3:uid="{00000000-0010-0000-0300-00000D000000}" name="G 0.21 Manipulation of Hardware or Software" dataDxfId="114"/>
    <tableColumn id="14" xr3:uid="{00000000-0010-0000-0300-00000E000000}" name="G 0.22 Manipulation of Information" dataDxfId="113"/>
    <tableColumn id="15" xr3:uid="{00000000-0010-0000-0300-00000F000000}" name="G 0.23 Unauthorised Access to IT Systems" dataDxfId="112"/>
    <tableColumn id="16" xr3:uid="{00000000-0010-0000-0300-000010000000}" name="G 0.24 Destruction of Devices or Storage Media" dataDxfId="111"/>
    <tableColumn id="17" xr3:uid="{00000000-0010-0000-0300-000011000000}" name="G 0.28 Software Vulnerabilities or Errors" dataDxfId="110"/>
    <tableColumn id="19" xr3:uid="{00000000-0010-0000-0300-000013000000}" name="G 0.30 Unauthorised Use or Administration of Devices and Systems" dataDxfId="109"/>
    <tableColumn id="20" xr3:uid="{00000000-0010-0000-0300-000014000000}" name="G 0.31 Incorrect Use or Administration of Devices and Systems" dataDxfId="108"/>
    <tableColumn id="21" xr3:uid="{00000000-0010-0000-0300-000015000000}" name="G 0.32 Misuse of Authorisation" dataDxfId="107"/>
    <tableColumn id="22" xr3:uid="{00000000-0010-0000-0300-000016000000}" name="G 0.35 Coercion, Blackmail or Corruption" dataDxfId="106"/>
    <tableColumn id="23" xr3:uid="{00000000-0010-0000-0300-000017000000}" name="G 0.36 Identity Theft" dataDxfId="105"/>
    <tableColumn id="24" xr3:uid="{00000000-0010-0000-0300-000018000000}" name="G 0.37 Repudiation of Actions" dataDxfId="104"/>
    <tableColumn id="25" xr3:uid="{00000000-0010-0000-0300-000019000000}" name="G 0.38 Misuse of Personal Information" dataDxfId="103"/>
    <tableColumn id="26" xr3:uid="{00000000-0010-0000-0300-00001A000000}" name="G 0.39 Malware" dataDxfId="102"/>
    <tableColumn id="27" xr3:uid="{00000000-0010-0000-0300-00001B000000}" name="G 0.40 Denial of Service" dataDxfId="101"/>
    <tableColumn id="28" xr3:uid="{00000000-0010-0000-0300-00001C000000}" name="G 0.42 Social Engineering" dataDxfId="100"/>
    <tableColumn id="29" xr3:uid="{00000000-0010-0000-0300-00001D000000}" name="G 0.43 Attack with Specially Crafted Messages" dataDxfId="99"/>
    <tableColumn id="30" xr3:uid="{00000000-0010-0000-0300-00001E000000}" name="G 0.44 Unauthorised Entry to Premises" dataDxfId="98"/>
    <tableColumn id="31" xr3:uid="{00000000-0010-0000-0300-00001F000000}" name="G 0.45 Data Loss" dataDxfId="97"/>
    <tableColumn id="32" xr3:uid="{00000000-0010-0000-0300-000020000000}" name="G 0.46 Loss of Integrity of Sensitive Information" dataDxfId="96"/>
    <tableColumn id="33" xr3:uid="{00000000-0010-0000-0300-000021000000}" name="G 0.47 Harmful Side Effects of IT-Supported Attacks" dataDxfId="95"/>
    <tableColumn id="34" xr3:uid="{00000000-0010-0000-0300-000022000000}" name="IND.1.2 Insufficient integration of OT into the security organisation" dataDxfId="94"/>
    <tableColumn id="35" xr3:uid="{00000000-0010-0000-0300-000023000000}" name="IND.1.3 Insufficient integration of OT into operational processes" dataDxfId="93"/>
    <tableColumn id="36" xr3:uid="{00000000-0010-0000-0300-000024000000}" name="IND.1.4 Insufficient access protection" dataDxfId="92"/>
    <tableColumn id="37" xr3:uid="{00000000-0010-0000-0300-000025000000}" name="IND.1.5 Unsecure project planning process/application development process" dataDxfId="91"/>
    <tableColumn id="38" xr3:uid="{00000000-0010-0000-0300-000026000000}" name="IND.1.6 Unsecure administration concept and remote administration" dataDxfId="90"/>
    <tableColumn id="39" xr3:uid="{00000000-0010-0000-0300-000027000000}" name="IND.1.7 Insufficient monitoring and detection procedures" dataDxfId="89"/>
    <tableColumn id="40" xr3:uid="{00000000-0010-0000-0300-000028000000}" name="IND.1.8 Insufficient test concept" dataDxfId="88"/>
    <tableColumn id="41" xr3:uid="{00000000-0010-0000-0300-000029000000}" name="IND.1.9 Insufficient life cycle concepts" dataDxfId="87"/>
    <tableColumn id="42" xr3:uid="{00000000-0010-0000-0300-00002A000000}" name="IND.1.10 Insufficient security requirements for procurement" dataDxfId="86"/>
    <tableColumn id="43" xr3:uid="{00000000-0010-0000-0300-00002B000000}" name="IND.1.11 Use of unsecure protocols" dataDxfId="85"/>
    <tableColumn id="44" xr3:uid="{00000000-0010-0000-0300-00002C000000}" name="IND.1.12 Insecure configurations of components" dataDxfId="84"/>
    <tableColumn id="45" xr3:uid="{00000000-0010-0000-0300-00002D000000}" name="IND.1.13 Dependencies of OT on IT networks" dataDxfId="83"/>
    <tableColumn id="46" xr3:uid="{00000000-0010-0000-0300-00002E000000}" name="IND.2.1.2 Insufficient user and authorisation management" dataDxfId="82"/>
    <tableColumn id="47" xr3:uid="{00000000-0010-0000-0300-00002F000000}" name="IND.2.1.3 Insufficient logging" dataDxfId="81"/>
    <tableColumn id="48" xr3:uid="{00000000-0010-0000-0300-000030000000}" name="IND.2.1.9 Manipulated firmware" dataDxfId="80"/>
    <tableColumn id="49" xr3:uid="{00000000-0010-0000-0300-000031000000}" name="IND.2.2.1 Incomplete documentation" dataDxfId="79"/>
    <tableColumn id="50" xr3:uid="{00000000-0010-0000-0300-000032000000}" name="IND.3.2.1 Incompletely documented remote maintenance access in the OT" dataDxfId="78"/>
    <tableColumn id="51" xr3:uid="{00000000-0010-0000-0300-000033000000}" name="IND.3.2.2 Insufficient availability due to dependencies on office and building IT" dataDxfId="77"/>
    <tableColumn id="52" xr3:uid="{00000000-0010-0000-0300-000034000000}" name="IND.3.2.3 Insufficient regulations for the use of OT remote maintenance access" dataDxfId="76"/>
    <tableColumn id="2" xr3:uid="{472379E7-15E3-40CB-B67E-E4AE7E9B9A54}" name="IND.3.2.4 Insufficient human oversight over OT remote maintenance sessions" dataDxfId="75"/>
    <tableColumn id="3" xr3:uid="{ADCCC1B3-A0CC-4D10-A317-B5BBBE1714B5}" name="IND.3.2.5 Direct IP-based access to systems from insecure zones" dataDxfId="74"/>
    <tableColumn id="5" xr3:uid="{3D1AB9E3-8974-49AA-8B84-D3B23910E048}" name="IND.3.2.6 Insecure alternative OT remote maintenance access in the event of faults" dataDxfId="73"/>
    <tableColumn id="54" xr3:uid="{916B8A42-3BE0-4F61-88B2-CE0524AEC87E}" name="IND.3.2.7 Insecure design of OT remote maintenance accesses" dataDxfId="72"/>
    <tableColumn id="55" xr3:uid="{6E28CB21-BF4E-4C60-AB7E-BA3E62B092BC}" name="IND.3.2.8 Outdated technical concepts for OT remote maintenance access" dataDxfId="71"/>
    <tableColumn id="56" xr3:uid="{338EE4F3-6E00-4430-B4F1-3EA0E542AC27}" name="CON.1.1 Insufficient key management for encryption" dataDxfId="70"/>
    <tableColumn id="57" xr3:uid="{E4B9D66E-8853-4BC6-9158-79BB5AE10FB9}" name="CON.1.8 Compromise of cryptographic keys" dataDxfId="69"/>
    <tableColumn id="58" xr3:uid="{4E1C66AC-E721-4656-BCEC-7876E8A21F0C}" name="CON.1.9 Forged certificates" dataDxfId="68"/>
    <tableColumn id="59" xr3:uid="{AB62DBF7-9A1E-4B97-AAC4-7928A8B1A42B}" name="CON.3.1 Missing data backup" dataDxfId="67"/>
    <tableColumn id="60" xr3:uid="{4D45747E-DEE3-4B8E-B968-0E9681C43F8A}" name="CON.3.2 Missing recovery tests" dataDxfId="66"/>
    <tableColumn id="61" xr3:uid="{C3A4DAD4-411D-43EC-9E9D-53A129A17046}" name="OPS.1.1.3.5 Problems with the automated distribution of patches and changes" dataDxfId="65"/>
    <tableColumn id="62" xr3:uid="{8039AC12-BD1F-4E77-862C-BDBF22D33FB7}" name="OPS.1.1.3.6 Insufficient recovery options for patch and change management" dataDxfId="64"/>
    <tableColumn id="63" xr3:uid="{984EADF3-7C9A-4A74-94F3-6C6057F15025}" name="OPS.1.1.3.8 Manipulation of data and tools during patch and change management" dataDxfId="63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Risk_Evaluation" displayName="Risk_Evaluation" ref="A5:AH64" totalsRowShown="0" headerRowDxfId="62" dataDxfId="60" headerRowBorderDxfId="61">
  <autoFilter ref="A5:AH64" xr:uid="{00000000-0009-0000-0100-000005000000}"/>
  <tableColumns count="34">
    <tableColumn id="1" xr3:uid="{00000000-0010-0000-0400-000001000000}" name="Threat Catalogue" dataDxfId="59">
      <calculatedColumnFormula>Attacker_Threat_Zone[[#This Row],[Threat Name]]</calculatedColumnFormula>
    </tableColumn>
    <tableColumn id="2" xr3:uid="{00000000-0010-0000-0400-000002000000}" name="Relevance" dataDxfId="58">
      <calculatedColumnFormula>IF(ISBLANK(Attacker_Threat_Zone[[#This Row],[Relevance]]),"No",Attacker_Threat_Zone[[#This Row],[Relevance]])</calculatedColumnFormula>
    </tableColumn>
    <tableColumn id="4" xr3:uid="{00000000-0010-0000-0400-000004000000}" name="Covered by / Reference to - G-6a" dataDxfId="57"/>
    <tableColumn id="5" xr3:uid="{00000000-0010-0000-0400-000005000000}" name="Reason for reference to other threat - G-6a" dataDxfId="56"/>
    <tableColumn id="6" xr3:uid="{EC8CCF00-94ED-4787-A8FC-626B35A2F160}" name="Prefulfilled SRs" dataDxfId="55">
      <calculatedColumnFormula>VLOOKUP(Risk_Evaluation[[#This Row],[Threat Catalogue]],_3_3_OVERVIEW_PRE!$A$7:$B$66,2,FALSE)</calculatedColumnFormula>
    </tableColumn>
    <tableColumn id="33" xr3:uid="{37DE6D3E-451E-4D11-8043-00F0A7A2430B}" name="Prefulfilled Measures" dataDxfId="54"/>
    <tableColumn id="7" xr3:uid="{00000000-0010-0000-0400-000007000000}" name="Exposure - G-6b" dataDxfId="53">
      <calculatedColumnFormula>IF(ISBLANK(Attacker_Threat_Zone[[#This Row],[Exposure]]),"",Attacker_Threat_Zone[[#This Row],[Exposure]])</calculatedColumnFormula>
    </tableColumn>
    <tableColumn id="3" xr3:uid="{9F802863-7B64-48F4-9A9A-8A5C561B7AB7}" name="Exposure - _x000a_G-6b_x000a_Override" dataDxfId="52"/>
    <tableColumn id="8" xr3:uid="{00000000-0010-0000-0400-000008000000}" name="Vulnerability - _x000a_G-6b" dataDxfId="51">
      <calculatedColumnFormula>IF(ISBLANK(Attacker_Threat_Zone[[#This Row],[Vulnerability]]),"",Attacker_Threat_Zone[[#This Row],[Vulnerability]])</calculatedColumnFormula>
    </tableColumn>
    <tableColumn id="32" xr3:uid="{9F1D41A7-7EE3-416B-9A79-259208B98814}" name="Vulnerability - _x000a_G-6b_x000a_Override" dataDxfId="50"/>
    <tableColumn id="9" xr3:uid="{00000000-0010-0000-0400-000009000000}" name="Likelihood - 6b" dataDxfId="49">
      <calculatedColumnFormula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calculatedColumnFormula>
    </tableColumn>
    <tableColumn id="10" xr3:uid="{00000000-0010-0000-0400-00000A000000}" name="Impact - G-6b" dataDxfId="48">
      <calculatedColumnFormula>Attacker_Threat_Zone[[#This Row],[Impact
Max]]</calculatedColumnFormula>
    </tableColumn>
    <tableColumn id="34" xr3:uid="{2D80EEDA-12D9-4D6B-B103-4F259A430A53}" name="Impact - _x000a_G-6b_x000a_Override" dataDxfId="47"/>
    <tableColumn id="11" xr3:uid="{00000000-0010-0000-0400-00000B000000}" name="Actual Risk - _x000a_G-6b" dataDxfId="46">
      <calculatedColumnFormula array="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calculatedColumnFormula>
    </tableColumn>
    <tableColumn id="12" xr3:uid="{00000000-0010-0000-0400-00000C000000}" name="Risk Delta - _x000a_G-6b" dataDxfId="45">
      <calculatedColumnFormula>IF(OR('SL-T'!$B$18="",Risk_Evaluation[[#This Row],[Actual Risk - 
G-6b]]=""),0,VLOOKUP(Risk_Evaluation[[#This Row],[Actual Risk - 
G-6b]],_DATA!$H$3:$I$7,2,FALSE)-VLOOKUP('SL-T'!$B$18,_DATA!$H$3:$I$7,2,FALSE))</calculatedColumnFormula>
    </tableColumn>
    <tableColumn id="13" xr3:uid="{00000000-0010-0000-0400-00000D000000}" name="Measure (SR) from _x000a_62443-3-3" dataDxfId="44">
      <calculatedColumnFormula>VLOOKUP(Risk_Evaluation[[#This Row],[Threat Catalogue]],_3_3_OVERVIEW_MITIGATING!$A$7:$B$66,2,FALSE)</calculatedColumnFormula>
    </tableColumn>
    <tableColumn id="30" xr3:uid="{00000000-0010-0000-0400-00001E000000}" name="Explanations for SRs" dataDxfId="43"/>
    <tableColumn id="14" xr3:uid="{00000000-0010-0000-0400-00000E000000}" name="Exposure - G-6d" dataDxfId="42"/>
    <tableColumn id="15" xr3:uid="{00000000-0010-0000-0400-00000F000000}" name="Vulnerability - _x000a_G-6d" dataDxfId="41"/>
    <tableColumn id="16" xr3:uid="{00000000-0010-0000-0400-000010000000}" name="Likelihood - _x000a_G-6d" dataDxfId="40"/>
    <tableColumn id="17" xr3:uid="{00000000-0010-0000-0400-000011000000}" name="Impact - G-6d" dataDxfId="39"/>
    <tableColumn id="18" xr3:uid="{00000000-0010-0000-0400-000012000000}" name="Actual Risk - _x000a_G-6d" dataDxfId="38"/>
    <tableColumn id="19" xr3:uid="{00000000-0010-0000-0400-000013000000}" name="Risk Delta - _x000a_G-6d" dataDxfId="37">
      <calculatedColumnFormula>IF(OR('SL-T'!$B$18="",Risk_Evaluation[[#This Row],[Actual Risk - 
G-6d]]=""),0,VLOOKUP(Risk_Evaluation[[#This Row],[Actual Risk - 
G-6d]],_DATA!$H$3:$I$7,2,FALSE)-VLOOKUP('SL-T'!$B$18,_DATA!$H$3:$I$7,2,FALSE))</calculatedColumnFormula>
    </tableColumn>
    <tableColumn id="20" xr3:uid="{00000000-0010-0000-0400-000014000000}" name="Measures from_x000a_ 62443-2-1" dataDxfId="36">
      <calculatedColumnFormula>VLOOKUP(Risk_Evaluation[[#This Row],[Threat Catalogue]],_2_1_OVERVIEW!$A$7:$B$66,2,FALSE)</calculatedColumnFormula>
    </tableColumn>
    <tableColumn id="31" xr3:uid="{00000000-0010-0000-0400-00001F000000}" name="Compensating measures and explanations" dataDxfId="35"/>
    <tableColumn id="21" xr3:uid="{00000000-0010-0000-0400-000015000000}" name="Measure IDs" dataDxfId="34"/>
    <tableColumn id="22" xr3:uid="{00000000-0010-0000-0400-000016000000}" name="Exposure - _x000a_G-6f" dataDxfId="33"/>
    <tableColumn id="23" xr3:uid="{00000000-0010-0000-0400-000017000000}" name="Vulnerability - _x000a_G-6f" dataDxfId="32"/>
    <tableColumn id="24" xr3:uid="{00000000-0010-0000-0400-000018000000}" name="Likelihood - _x000a_G-6f" dataDxfId="31"/>
    <tableColumn id="25" xr3:uid="{00000000-0010-0000-0400-000019000000}" name="Impact  - G-6f" dataDxfId="30"/>
    <tableColumn id="26" xr3:uid="{00000000-0010-0000-0400-00001A000000}" name="Actual Risk - _x000a_G-6f" dataDxfId="29"/>
    <tableColumn id="27" xr3:uid="{00000000-0010-0000-0400-00001B000000}" name="Final Risk Delta G-6f" dataDxfId="28">
      <calculatedColumnFormula>IF(OR('SL-T'!$B$18="",Risk_Evaluation[[#This Row],[Actual Risk - 
G-6f]]=""),0,VLOOKUP(Risk_Evaluation[[#This Row],[Actual Risk - 
G-6f]],_DATA!$H$3:$I$7,2,FALSE)-VLOOKUP('SL-T'!$B$18,_DATA!$H$3:$I$7,2,FALSE))</calculatedColumnFormula>
    </tableColumn>
    <tableColumn id="28" xr3:uid="{00000000-0010-0000-0400-00001C000000}" name="Risk acceptance _x000a_Explanation_x000a_G-6e" dataDxfId="27"/>
    <tableColumn id="29" xr3:uid="{00000000-0010-0000-0400-00001D000000}" name="Explanation (e.g. for Exposure, Vulnerability, Impact)" dataDxfId="26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1C75486-9F2F-4341-BE67-1B0296363744}" name="SL_Mapping" displayName="SL_Mapping" ref="K2:L7" totalsRowShown="0">
  <autoFilter ref="K2:L7" xr:uid="{91C75486-9F2F-4341-BE67-1B0296363744}"/>
  <tableColumns count="2">
    <tableColumn id="1" xr3:uid="{0326E84F-DE90-469B-A524-57C64C723517}" name="Risk"/>
    <tableColumn id="2" xr3:uid="{2CAE2974-21BC-422C-B888-3C2F85B39FD4}" name="SL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elle68" displayName="Tabelle68" ref="A3:D41" totalsRowShown="0" headerRowDxfId="25">
  <autoFilter ref="A3:D41" xr:uid="{00000000-0009-0000-0100-000008000000}"/>
  <tableColumns count="4">
    <tableColumn id="1" xr3:uid="{00000000-0010-0000-0700-000001000000}" name="Template Version" dataDxfId="24"/>
    <tableColumn id="4" xr3:uid="{00000000-0010-0000-0700-000004000000}" name="Date" dataDxfId="23"/>
    <tableColumn id="2" xr3:uid="{00000000-0010-0000-0700-000002000000}" name="Change Description"/>
    <tableColumn id="3" xr3:uid="{00000000-0010-0000-0700-000003000000}" name="Author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elle3" displayName="Tabelle3" ref="A60:A71" totalsRowShown="0" headerRowDxfId="22" dataDxfId="20" headerRowBorderDxfId="21" tableBorderDxfId="19" totalsRowBorderDxfId="18" headerRowCellStyle="Standard 2" dataCellStyle="Standard 2">
  <autoFilter ref="A60:A71" xr:uid="{00000000-0009-0000-0100-00000A000000}"/>
  <tableColumns count="1">
    <tableColumn id="1" xr3:uid="{00000000-0010-0000-0900-000001000000}" name="Methods for Validation and Verification" dataDxfId="17" dataCellStyle="Standard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table" Target="../tables/table9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2" tint="-0.499984740745262"/>
    <pageSetUpPr fitToPage="1"/>
  </sheetPr>
  <dimension ref="A1:M32"/>
  <sheetViews>
    <sheetView topLeftCell="A15" workbookViewId="0">
      <selection activeCell="C26" sqref="C26"/>
    </sheetView>
  </sheetViews>
  <sheetFormatPr baseColWidth="10" defaultColWidth="11.5546875" defaultRowHeight="14.4"/>
  <cols>
    <col min="1" max="1" width="10.6640625" customWidth="1"/>
  </cols>
  <sheetData>
    <row r="1" spans="1:13" ht="43.2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ht="32.4" customHeight="1">
      <c r="A2" s="32" t="s">
        <v>1</v>
      </c>
      <c r="C2" s="206" t="s">
        <v>2</v>
      </c>
      <c r="D2" s="206"/>
      <c r="E2" s="206"/>
      <c r="F2" s="206"/>
      <c r="G2" s="206"/>
      <c r="H2" s="206"/>
      <c r="I2" s="206"/>
      <c r="J2" s="206"/>
    </row>
    <row r="3" spans="1:13" ht="32.4" customHeight="1">
      <c r="A3" s="32" t="s">
        <v>3</v>
      </c>
      <c r="C3" s="206"/>
      <c r="D3" s="206"/>
      <c r="E3" s="206"/>
      <c r="F3" s="206"/>
      <c r="G3" s="206"/>
      <c r="H3" s="206"/>
      <c r="I3" s="206"/>
      <c r="J3" s="206"/>
    </row>
    <row r="4" spans="1:13" ht="32.4" customHeight="1">
      <c r="A4" s="32" t="s">
        <v>4</v>
      </c>
      <c r="C4" s="206"/>
      <c r="D4" s="206"/>
      <c r="E4" s="206"/>
      <c r="F4" s="206"/>
      <c r="G4" s="206"/>
      <c r="H4" s="206"/>
      <c r="I4" s="206"/>
      <c r="J4" s="206"/>
    </row>
    <row r="5" spans="1:13" ht="32.4" customHeight="1">
      <c r="A5" s="32" t="s">
        <v>5</v>
      </c>
      <c r="C5" s="206"/>
      <c r="D5" s="206"/>
      <c r="E5" s="206"/>
      <c r="F5" s="206"/>
      <c r="G5" s="206"/>
      <c r="H5" s="206"/>
      <c r="I5" s="206"/>
      <c r="J5" s="206"/>
    </row>
    <row r="6" spans="1:13" ht="106.95" customHeight="1">
      <c r="A6" s="32"/>
      <c r="C6" s="206"/>
      <c r="D6" s="206"/>
      <c r="E6" s="206"/>
      <c r="F6" s="206"/>
      <c r="G6" s="206"/>
      <c r="H6" s="206"/>
      <c r="I6" s="206"/>
      <c r="J6" s="206"/>
    </row>
    <row r="7" spans="1:13" s="7" customFormat="1" ht="46.2">
      <c r="A7" s="182" t="s">
        <v>6</v>
      </c>
      <c r="B7" s="33"/>
      <c r="C7" s="33"/>
      <c r="D7" s="33"/>
      <c r="E7" s="33"/>
      <c r="F7" s="33"/>
      <c r="G7" s="33"/>
      <c r="H7" s="33"/>
      <c r="I7" s="33"/>
      <c r="J7" s="33"/>
    </row>
    <row r="8" spans="1:13" ht="25.8">
      <c r="A8" s="181" t="s">
        <v>7</v>
      </c>
      <c r="B8" s="34"/>
      <c r="C8" s="34"/>
      <c r="D8" s="34"/>
      <c r="E8" s="34"/>
      <c r="F8" s="34"/>
      <c r="G8" s="34"/>
      <c r="H8" s="34"/>
      <c r="I8" s="34"/>
      <c r="J8" s="34"/>
    </row>
    <row r="9" spans="1:13" ht="15.6" customHeight="1">
      <c r="A9" s="6"/>
      <c r="B9" s="7"/>
      <c r="C9" s="7"/>
      <c r="D9" s="7"/>
      <c r="E9" s="7"/>
      <c r="F9" s="7"/>
      <c r="G9" s="7"/>
      <c r="H9" s="7"/>
    </row>
    <row r="10" spans="1:13" ht="15.6" customHeight="1">
      <c r="A10" s="205"/>
      <c r="B10" s="204"/>
      <c r="C10" s="204"/>
      <c r="D10" s="204"/>
      <c r="E10" s="204"/>
      <c r="F10" s="204"/>
      <c r="G10" s="204"/>
      <c r="H10" s="204"/>
    </row>
    <row r="12" spans="1:13" ht="15.6" customHeight="1">
      <c r="A12" s="5" t="s">
        <v>8</v>
      </c>
    </row>
    <row r="14" spans="1:13">
      <c r="A14" s="8" t="s">
        <v>9</v>
      </c>
      <c r="B14" s="203" t="s">
        <v>10</v>
      </c>
      <c r="C14" s="204"/>
      <c r="D14" s="204"/>
      <c r="E14" s="204"/>
      <c r="F14" s="204"/>
    </row>
    <row r="15" spans="1:13">
      <c r="A15" s="8" t="s">
        <v>9</v>
      </c>
      <c r="B15" s="203" t="s">
        <v>11</v>
      </c>
      <c r="C15" s="204"/>
      <c r="D15" s="204"/>
      <c r="E15" s="204"/>
      <c r="F15" s="204"/>
    </row>
    <row r="16" spans="1:13">
      <c r="A16" s="8" t="s">
        <v>9</v>
      </c>
      <c r="B16" s="203" t="s">
        <v>12</v>
      </c>
      <c r="C16" s="204"/>
      <c r="D16" s="204"/>
      <c r="E16" s="204"/>
      <c r="F16" s="204"/>
    </row>
    <row r="17" spans="1:6">
      <c r="A17" s="8" t="s">
        <v>9</v>
      </c>
      <c r="B17" s="203" t="s">
        <v>13</v>
      </c>
      <c r="C17" s="204"/>
      <c r="D17" s="204"/>
      <c r="E17" s="204"/>
      <c r="F17" s="204"/>
    </row>
    <row r="20" spans="1:6">
      <c r="A20" t="s">
        <v>14</v>
      </c>
    </row>
    <row r="25" spans="1:6">
      <c r="A25" t="s">
        <v>15</v>
      </c>
      <c r="B25" s="19"/>
      <c r="C25" s="19" t="s">
        <v>16</v>
      </c>
    </row>
    <row r="27" spans="1:6">
      <c r="A27" t="s">
        <v>17</v>
      </c>
      <c r="C27" t="s">
        <v>18</v>
      </c>
    </row>
    <row r="28" spans="1:6">
      <c r="C28" t="s">
        <v>19</v>
      </c>
    </row>
    <row r="29" spans="1:6">
      <c r="C29" t="s">
        <v>20</v>
      </c>
    </row>
    <row r="30" spans="1:6">
      <c r="C30" t="s">
        <v>21</v>
      </c>
    </row>
    <row r="32" spans="1:6">
      <c r="A32" t="s">
        <v>22</v>
      </c>
      <c r="C32" t="s">
        <v>23</v>
      </c>
    </row>
  </sheetData>
  <mergeCells count="7">
    <mergeCell ref="A1:M1"/>
    <mergeCell ref="B17:F17"/>
    <mergeCell ref="A10:H10"/>
    <mergeCell ref="B14:F14"/>
    <mergeCell ref="B15:F15"/>
    <mergeCell ref="B16:F16"/>
    <mergeCell ref="C2:J6"/>
  </mergeCells>
  <pageMargins left="0.70866141732283472" right="0.70866141732283472" top="0.78740157480314965" bottom="0.78740157480314965" header="0.31496062992125978" footer="0.31496062992125978"/>
  <pageSetup paperSize="9" scale="84" orientation="portrait" horizont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>
    <tabColor rgb="FF92D050"/>
  </sheetPr>
  <dimension ref="A1:G16"/>
  <sheetViews>
    <sheetView zoomScaleNormal="100" workbookViewId="0">
      <selection activeCell="F14" sqref="F14"/>
    </sheetView>
  </sheetViews>
  <sheetFormatPr baseColWidth="10" defaultColWidth="11.5546875" defaultRowHeight="14.4"/>
  <cols>
    <col min="2" max="2" width="47.33203125" customWidth="1"/>
    <col min="3" max="3" width="50" customWidth="1"/>
  </cols>
  <sheetData>
    <row r="1" spans="1:7" ht="33" customHeight="1" thickBot="1">
      <c r="A1" s="202" t="s">
        <v>0</v>
      </c>
      <c r="B1" s="202"/>
      <c r="C1" s="202"/>
      <c r="D1" s="202"/>
      <c r="E1" s="202"/>
      <c r="F1" s="202"/>
      <c r="G1" s="202"/>
    </row>
    <row r="2" spans="1:7" ht="15" customHeight="1">
      <c r="A2" s="155" t="s">
        <v>434</v>
      </c>
      <c r="B2" s="157" t="s">
        <v>435</v>
      </c>
      <c r="C2" s="157" t="s">
        <v>436</v>
      </c>
    </row>
    <row r="3" spans="1:7" ht="21" thickBot="1">
      <c r="A3" s="156"/>
      <c r="B3" s="154"/>
      <c r="C3" s="158" t="s">
        <v>437</v>
      </c>
    </row>
    <row r="4" spans="1:7" ht="20.100000000000001" customHeight="1" thickBot="1">
      <c r="A4" s="242">
        <v>1</v>
      </c>
      <c r="B4" s="38" t="s">
        <v>438</v>
      </c>
      <c r="C4" s="38" t="s">
        <v>439</v>
      </c>
    </row>
    <row r="5" spans="1:7" ht="30" customHeight="1">
      <c r="A5" s="243"/>
      <c r="B5" s="38" t="s">
        <v>440</v>
      </c>
      <c r="C5" s="38" t="s">
        <v>441</v>
      </c>
    </row>
    <row r="6" spans="1:7" ht="20.100000000000001" customHeight="1">
      <c r="A6" s="243"/>
      <c r="B6" s="38" t="s">
        <v>442</v>
      </c>
      <c r="C6" s="38" t="s">
        <v>443</v>
      </c>
    </row>
    <row r="7" spans="1:7" ht="15" customHeight="1" thickBot="1">
      <c r="A7" s="244"/>
      <c r="B7" s="39"/>
      <c r="C7" s="40" t="s">
        <v>444</v>
      </c>
    </row>
    <row r="8" spans="1:7" ht="20.100000000000001" customHeight="1">
      <c r="A8" s="245">
        <v>2</v>
      </c>
      <c r="B8" s="38" t="s">
        <v>445</v>
      </c>
      <c r="C8" s="38" t="s">
        <v>446</v>
      </c>
    </row>
    <row r="9" spans="1:7" ht="20.100000000000001" customHeight="1">
      <c r="A9" s="243"/>
      <c r="B9" s="38" t="s">
        <v>447</v>
      </c>
      <c r="C9" s="38" t="s">
        <v>448</v>
      </c>
    </row>
    <row r="10" spans="1:7">
      <c r="A10" s="243"/>
      <c r="B10" s="38" t="s">
        <v>449</v>
      </c>
      <c r="C10" s="38" t="s">
        <v>450</v>
      </c>
    </row>
    <row r="11" spans="1:7" ht="20.399999999999999" customHeight="1" thickBot="1">
      <c r="A11" s="244"/>
      <c r="B11" s="40" t="s">
        <v>451</v>
      </c>
      <c r="C11" s="40" t="s">
        <v>452</v>
      </c>
    </row>
    <row r="12" spans="1:7" ht="20.100000000000001" customHeight="1">
      <c r="A12" s="245">
        <v>3</v>
      </c>
      <c r="B12" s="38" t="s">
        <v>453</v>
      </c>
      <c r="C12" s="38" t="s">
        <v>454</v>
      </c>
    </row>
    <row r="13" spans="1:7" ht="20.100000000000001" customHeight="1">
      <c r="A13" s="243"/>
      <c r="B13" s="38" t="s">
        <v>455</v>
      </c>
      <c r="C13" s="38" t="s">
        <v>456</v>
      </c>
    </row>
    <row r="14" spans="1:7" ht="20.100000000000001" customHeight="1">
      <c r="A14" s="243"/>
      <c r="B14" s="38" t="s">
        <v>457</v>
      </c>
      <c r="C14" s="38" t="s">
        <v>458</v>
      </c>
    </row>
    <row r="15" spans="1:7" ht="20.100000000000001" customHeight="1">
      <c r="A15" s="243"/>
      <c r="B15" s="38" t="s">
        <v>459</v>
      </c>
      <c r="C15" s="38" t="s">
        <v>460</v>
      </c>
    </row>
    <row r="16" spans="1:7" ht="20.399999999999999" customHeight="1" thickBot="1">
      <c r="A16" s="244"/>
      <c r="B16" s="40" t="s">
        <v>461</v>
      </c>
      <c r="C16" s="39"/>
    </row>
  </sheetData>
  <mergeCells count="4">
    <mergeCell ref="A4:A7"/>
    <mergeCell ref="A8:A11"/>
    <mergeCell ref="A12:A16"/>
    <mergeCell ref="A1:G1"/>
  </mergeCells>
  <pageMargins left="0.7" right="0.7" top="0.78740157499999996" bottom="0.78740157499999996" header="0.3" footer="0.3"/>
  <pageSetup paperSize="9" orientation="portrait" horizontalDpi="4294967294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92D050"/>
  </sheetPr>
  <dimension ref="A1:M8"/>
  <sheetViews>
    <sheetView zoomScaleNormal="100" workbookViewId="0">
      <selection activeCell="I15" sqref="I15"/>
    </sheetView>
  </sheetViews>
  <sheetFormatPr baseColWidth="10" defaultColWidth="11.5546875" defaultRowHeight="14.4"/>
  <cols>
    <col min="9" max="9" width="19.33203125" customWidth="1"/>
    <col min="12" max="12" width="22.6640625" customWidth="1"/>
  </cols>
  <sheetData>
    <row r="1" spans="1:13" ht="41.4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ht="15.6" customHeight="1">
      <c r="A2" s="34"/>
      <c r="B2" s="34"/>
      <c r="C2" s="246" t="s">
        <v>462</v>
      </c>
      <c r="D2" s="204"/>
      <c r="E2" s="204"/>
      <c r="F2" s="204"/>
    </row>
    <row r="3" spans="1:13" ht="15.6" customHeight="1">
      <c r="A3" s="34"/>
      <c r="B3" s="34"/>
      <c r="C3" s="136" t="s">
        <v>85</v>
      </c>
      <c r="D3" s="136" t="s">
        <v>81</v>
      </c>
      <c r="E3" s="136" t="s">
        <v>87</v>
      </c>
      <c r="F3" s="136" t="s">
        <v>83</v>
      </c>
    </row>
    <row r="4" spans="1:13">
      <c r="A4" s="247" t="s">
        <v>463</v>
      </c>
      <c r="B4" s="44" t="s">
        <v>167</v>
      </c>
      <c r="C4" s="41" t="s">
        <v>167</v>
      </c>
      <c r="D4" s="41" t="s">
        <v>167</v>
      </c>
      <c r="E4" s="41" t="s">
        <v>167</v>
      </c>
      <c r="F4" s="41" t="s">
        <v>464</v>
      </c>
    </row>
    <row r="5" spans="1:13">
      <c r="A5" s="204"/>
      <c r="B5" s="44" t="s">
        <v>464</v>
      </c>
      <c r="C5" s="41" t="s">
        <v>167</v>
      </c>
      <c r="D5" s="41" t="s">
        <v>167</v>
      </c>
      <c r="E5" s="41" t="s">
        <v>464</v>
      </c>
      <c r="F5" s="3" t="s">
        <v>465</v>
      </c>
    </row>
    <row r="6" spans="1:13">
      <c r="A6" s="204"/>
      <c r="B6" s="44" t="s">
        <v>465</v>
      </c>
      <c r="C6" s="41" t="s">
        <v>167</v>
      </c>
      <c r="D6" s="41" t="s">
        <v>464</v>
      </c>
      <c r="E6" s="3" t="s">
        <v>465</v>
      </c>
      <c r="F6" s="4" t="s">
        <v>466</v>
      </c>
    </row>
    <row r="7" spans="1:13">
      <c r="A7" s="204"/>
      <c r="B7" s="44" t="s">
        <v>466</v>
      </c>
      <c r="C7" s="41" t="s">
        <v>464</v>
      </c>
      <c r="D7" s="3" t="s">
        <v>465</v>
      </c>
      <c r="E7" s="4" t="s">
        <v>466</v>
      </c>
      <c r="F7" s="4" t="s">
        <v>466</v>
      </c>
    </row>
    <row r="8" spans="1:13">
      <c r="A8" s="204"/>
      <c r="B8" s="44" t="s">
        <v>467</v>
      </c>
      <c r="C8" s="3" t="s">
        <v>465</v>
      </c>
      <c r="D8" s="4" t="s">
        <v>466</v>
      </c>
      <c r="E8" s="4" t="s">
        <v>466</v>
      </c>
      <c r="F8" s="4" t="s">
        <v>467</v>
      </c>
    </row>
  </sheetData>
  <mergeCells count="3">
    <mergeCell ref="C2:F2"/>
    <mergeCell ref="A4:A8"/>
    <mergeCell ref="A1:M1"/>
  </mergeCells>
  <pageMargins left="0.7" right="0.7" top="0.78740157499999996" bottom="0.78740157499999996" header="0.3" footer="0.3"/>
  <pageSetup paperSize="9" orientation="portrait" horizontalDpi="4294967294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M9"/>
  <sheetViews>
    <sheetView workbookViewId="0">
      <selection activeCell="K11" sqref="K11"/>
    </sheetView>
  </sheetViews>
  <sheetFormatPr baseColWidth="10" defaultColWidth="11.44140625" defaultRowHeight="14.4"/>
  <cols>
    <col min="2" max="2" width="14.5546875" customWidth="1"/>
    <col min="8" max="8" width="15" customWidth="1"/>
    <col min="9" max="9" width="53.6640625" customWidth="1"/>
  </cols>
  <sheetData>
    <row r="1" spans="1:13" ht="34.950000000000003" customHeight="1" thickBo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ht="15" customHeight="1" thickBot="1">
      <c r="A2" s="34"/>
      <c r="B2" s="34"/>
      <c r="C2" s="248" t="s">
        <v>468</v>
      </c>
      <c r="D2" s="213"/>
      <c r="E2" s="213"/>
      <c r="G2" s="45" t="s">
        <v>469</v>
      </c>
      <c r="H2" s="46" t="s">
        <v>470</v>
      </c>
      <c r="I2" s="45" t="s">
        <v>32</v>
      </c>
      <c r="K2" t="s">
        <v>38</v>
      </c>
      <c r="L2" t="s">
        <v>164</v>
      </c>
    </row>
    <row r="3" spans="1:13" ht="42.6" customHeight="1" thickBot="1">
      <c r="A3" s="34"/>
      <c r="B3" s="45" t="s">
        <v>471</v>
      </c>
      <c r="C3" s="46">
        <v>2</v>
      </c>
      <c r="D3" s="46">
        <v>3</v>
      </c>
      <c r="E3" s="45">
        <v>4</v>
      </c>
      <c r="F3" s="133"/>
      <c r="G3" s="66" t="s">
        <v>472</v>
      </c>
      <c r="H3" s="64" t="s">
        <v>167</v>
      </c>
      <c r="I3" s="64" t="s">
        <v>473</v>
      </c>
      <c r="K3" t="s">
        <v>167</v>
      </c>
      <c r="L3">
        <v>0</v>
      </c>
    </row>
    <row r="4" spans="1:13" ht="42.6" customHeight="1" thickBot="1">
      <c r="A4" s="249" t="s">
        <v>474</v>
      </c>
      <c r="B4" s="45">
        <v>2</v>
      </c>
      <c r="C4" s="37">
        <v>2</v>
      </c>
      <c r="D4" s="37">
        <v>3</v>
      </c>
      <c r="E4" s="36">
        <v>4</v>
      </c>
      <c r="F4" s="133"/>
      <c r="G4" s="67" t="s">
        <v>475</v>
      </c>
      <c r="H4" s="63" t="s">
        <v>476</v>
      </c>
      <c r="I4" s="63" t="s">
        <v>477</v>
      </c>
      <c r="K4" t="s">
        <v>464</v>
      </c>
      <c r="L4">
        <v>1</v>
      </c>
    </row>
    <row r="5" spans="1:13" ht="28.5" customHeight="1" thickBot="1">
      <c r="A5" s="250"/>
      <c r="B5" s="45">
        <v>3</v>
      </c>
      <c r="C5" s="37">
        <v>3</v>
      </c>
      <c r="D5" s="37">
        <v>3</v>
      </c>
      <c r="E5" s="36">
        <v>4</v>
      </c>
      <c r="F5" s="133"/>
      <c r="G5" s="67" t="s">
        <v>478</v>
      </c>
      <c r="H5" s="63" t="s">
        <v>466</v>
      </c>
      <c r="I5" s="63" t="s">
        <v>479</v>
      </c>
      <c r="K5" t="s">
        <v>465</v>
      </c>
      <c r="L5">
        <v>2</v>
      </c>
    </row>
    <row r="6" spans="1:13" ht="15" customHeight="1" thickBot="1">
      <c r="A6" s="250"/>
      <c r="B6" s="45">
        <v>4</v>
      </c>
      <c r="C6" s="37">
        <v>3</v>
      </c>
      <c r="D6" s="37">
        <v>4</v>
      </c>
      <c r="E6" s="36">
        <v>4</v>
      </c>
      <c r="F6" s="133"/>
      <c r="G6" s="68"/>
      <c r="H6" s="65"/>
      <c r="I6" s="65"/>
      <c r="K6" t="s">
        <v>466</v>
      </c>
      <c r="L6">
        <v>3</v>
      </c>
    </row>
    <row r="7" spans="1:13" ht="27.9" customHeight="1">
      <c r="G7" s="67" t="s">
        <v>480</v>
      </c>
      <c r="H7" s="63" t="s">
        <v>167</v>
      </c>
      <c r="I7" s="63" t="s">
        <v>481</v>
      </c>
      <c r="K7" t="s">
        <v>467</v>
      </c>
      <c r="L7">
        <v>4</v>
      </c>
    </row>
    <row r="8" spans="1:13" ht="27.9" customHeight="1">
      <c r="A8" t="s">
        <v>482</v>
      </c>
      <c r="G8" s="67" t="s">
        <v>483</v>
      </c>
      <c r="H8" s="63" t="s">
        <v>476</v>
      </c>
      <c r="I8" s="63" t="s">
        <v>484</v>
      </c>
    </row>
    <row r="9" spans="1:13" ht="27.9" customHeight="1">
      <c r="G9" s="67" t="s">
        <v>485</v>
      </c>
      <c r="H9" s="63" t="s">
        <v>466</v>
      </c>
      <c r="I9" s="63" t="s">
        <v>486</v>
      </c>
    </row>
  </sheetData>
  <mergeCells count="3">
    <mergeCell ref="C2:E2"/>
    <mergeCell ref="A4:A6"/>
    <mergeCell ref="A1:M1"/>
  </mergeCells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 tint="-0.499984740745262"/>
  </sheetPr>
  <dimension ref="A1:U41"/>
  <sheetViews>
    <sheetView tabSelected="1" topLeftCell="A33" workbookViewId="0">
      <selection activeCell="G39" sqref="G39"/>
    </sheetView>
  </sheetViews>
  <sheetFormatPr baseColWidth="10" defaultColWidth="11.44140625" defaultRowHeight="14.4"/>
  <cols>
    <col min="1" max="2" width="17" customWidth="1"/>
    <col min="3" max="3" width="32.88671875" customWidth="1"/>
    <col min="4" max="4" width="22.33203125" customWidth="1"/>
  </cols>
  <sheetData>
    <row r="1" spans="1:21" ht="33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</row>
    <row r="2" spans="1:21" ht="21" customHeight="1">
      <c r="A2" s="60" t="s">
        <v>487</v>
      </c>
      <c r="B2" s="59"/>
      <c r="C2" s="59"/>
      <c r="D2" s="59"/>
    </row>
    <row r="3" spans="1:21">
      <c r="A3" t="s">
        <v>488</v>
      </c>
      <c r="B3" t="s">
        <v>26</v>
      </c>
      <c r="C3" t="s">
        <v>27</v>
      </c>
      <c r="D3" t="s">
        <v>28</v>
      </c>
    </row>
    <row r="4" spans="1:21" ht="43.5" customHeight="1">
      <c r="A4" s="19" t="s">
        <v>489</v>
      </c>
      <c r="B4" s="22"/>
      <c r="C4" t="s">
        <v>490</v>
      </c>
      <c r="D4" s="133" t="s">
        <v>491</v>
      </c>
    </row>
    <row r="5" spans="1:21" ht="101.4" customHeight="1">
      <c r="A5" s="19" t="s">
        <v>492</v>
      </c>
      <c r="B5" s="22">
        <v>44491</v>
      </c>
      <c r="C5" s="20" t="s">
        <v>493</v>
      </c>
      <c r="D5" s="133" t="s">
        <v>494</v>
      </c>
    </row>
    <row r="6" spans="1:21">
      <c r="A6" s="19" t="s">
        <v>495</v>
      </c>
      <c r="B6" s="22">
        <v>44494</v>
      </c>
      <c r="C6" s="21" t="s">
        <v>496</v>
      </c>
      <c r="D6" t="s">
        <v>497</v>
      </c>
    </row>
    <row r="7" spans="1:21" ht="43.5" customHeight="1">
      <c r="A7" s="19" t="s">
        <v>498</v>
      </c>
      <c r="B7" s="22">
        <v>44496</v>
      </c>
      <c r="C7" s="20" t="s">
        <v>499</v>
      </c>
      <c r="D7" t="s">
        <v>497</v>
      </c>
    </row>
    <row r="8" spans="1:21" ht="29.1" customHeight="1">
      <c r="A8" s="19" t="s">
        <v>500</v>
      </c>
      <c r="B8" s="22">
        <v>44497</v>
      </c>
      <c r="C8" s="20" t="s">
        <v>501</v>
      </c>
      <c r="D8" t="s">
        <v>497</v>
      </c>
    </row>
    <row r="9" spans="1:21">
      <c r="A9" s="19" t="s">
        <v>502</v>
      </c>
      <c r="B9" s="22">
        <v>44498</v>
      </c>
      <c r="C9" s="20" t="s">
        <v>503</v>
      </c>
      <c r="D9" t="s">
        <v>497</v>
      </c>
    </row>
    <row r="10" spans="1:21">
      <c r="A10" s="19" t="s">
        <v>504</v>
      </c>
      <c r="B10" s="22">
        <v>44502</v>
      </c>
      <c r="C10" s="21" t="s">
        <v>505</v>
      </c>
      <c r="D10" t="s">
        <v>497</v>
      </c>
    </row>
    <row r="11" spans="1:21" ht="29.1" customHeight="1">
      <c r="A11" s="19" t="s">
        <v>506</v>
      </c>
      <c r="B11" s="22">
        <v>44509</v>
      </c>
      <c r="C11" s="20" t="s">
        <v>507</v>
      </c>
      <c r="D11" t="s">
        <v>497</v>
      </c>
    </row>
    <row r="12" spans="1:21" ht="43.5" customHeight="1">
      <c r="A12" s="19" t="s">
        <v>508</v>
      </c>
      <c r="B12" s="22">
        <v>44515</v>
      </c>
      <c r="C12" s="20" t="s">
        <v>509</v>
      </c>
      <c r="D12" t="s">
        <v>497</v>
      </c>
    </row>
    <row r="13" spans="1:21">
      <c r="A13" s="19" t="s">
        <v>510</v>
      </c>
      <c r="B13" s="22">
        <v>44607</v>
      </c>
      <c r="C13" s="21" t="s">
        <v>511</v>
      </c>
      <c r="D13" t="s">
        <v>497</v>
      </c>
    </row>
    <row r="14" spans="1:21" ht="57.9" customHeight="1">
      <c r="A14" s="19" t="s">
        <v>512</v>
      </c>
      <c r="B14" s="22">
        <v>44607</v>
      </c>
      <c r="C14" s="20" t="s">
        <v>513</v>
      </c>
      <c r="D14" t="s">
        <v>497</v>
      </c>
    </row>
    <row r="15" spans="1:21">
      <c r="A15" s="19" t="s">
        <v>514</v>
      </c>
      <c r="B15" s="22">
        <v>44638</v>
      </c>
      <c r="C15" s="21" t="s">
        <v>515</v>
      </c>
      <c r="D15" t="s">
        <v>497</v>
      </c>
    </row>
    <row r="16" spans="1:21">
      <c r="A16" s="19" t="s">
        <v>516</v>
      </c>
      <c r="B16" s="22">
        <v>44650</v>
      </c>
      <c r="C16" s="21" t="s">
        <v>517</v>
      </c>
      <c r="D16" t="s">
        <v>497</v>
      </c>
    </row>
    <row r="17" spans="1:4" ht="29.1" customHeight="1">
      <c r="A17" s="19" t="s">
        <v>518</v>
      </c>
      <c r="B17" s="22">
        <v>44658</v>
      </c>
      <c r="C17" s="20" t="s">
        <v>519</v>
      </c>
      <c r="D17" t="s">
        <v>497</v>
      </c>
    </row>
    <row r="18" spans="1:4" ht="29.1" customHeight="1">
      <c r="A18" s="19" t="s">
        <v>520</v>
      </c>
      <c r="B18" s="22">
        <v>44662</v>
      </c>
      <c r="C18" s="20" t="s">
        <v>521</v>
      </c>
      <c r="D18" t="s">
        <v>497</v>
      </c>
    </row>
    <row r="19" spans="1:4" ht="43.5" customHeight="1">
      <c r="A19" s="19" t="s">
        <v>522</v>
      </c>
      <c r="B19" s="22">
        <v>44673</v>
      </c>
      <c r="C19" s="20" t="s">
        <v>523</v>
      </c>
      <c r="D19" t="s">
        <v>497</v>
      </c>
    </row>
    <row r="20" spans="1:4" ht="43.5" customHeight="1">
      <c r="A20" s="19" t="s">
        <v>524</v>
      </c>
      <c r="B20" s="22">
        <v>44676</v>
      </c>
      <c r="C20" s="20" t="s">
        <v>525</v>
      </c>
      <c r="D20" t="s">
        <v>497</v>
      </c>
    </row>
    <row r="21" spans="1:4" ht="72.599999999999994" customHeight="1">
      <c r="A21" s="19" t="s">
        <v>526</v>
      </c>
      <c r="B21" s="22">
        <v>44677</v>
      </c>
      <c r="C21" s="20" t="s">
        <v>527</v>
      </c>
      <c r="D21" t="s">
        <v>497</v>
      </c>
    </row>
    <row r="22" spans="1:4" ht="29.1" customHeight="1">
      <c r="A22" s="19" t="s">
        <v>528</v>
      </c>
      <c r="B22" s="22">
        <v>44694</v>
      </c>
      <c r="C22" s="20" t="s">
        <v>529</v>
      </c>
      <c r="D22" s="133" t="s">
        <v>530</v>
      </c>
    </row>
    <row r="23" spans="1:4">
      <c r="A23" s="19" t="s">
        <v>531</v>
      </c>
      <c r="B23" s="22">
        <v>44698</v>
      </c>
      <c r="C23" s="21" t="s">
        <v>532</v>
      </c>
      <c r="D23" t="s">
        <v>497</v>
      </c>
    </row>
    <row r="24" spans="1:4" ht="29.1" customHeight="1">
      <c r="A24" s="19" t="s">
        <v>533</v>
      </c>
      <c r="B24" s="22">
        <v>44704</v>
      </c>
      <c r="C24" s="20" t="s">
        <v>534</v>
      </c>
      <c r="D24" t="s">
        <v>497</v>
      </c>
    </row>
    <row r="25" spans="1:4" ht="29.1" customHeight="1">
      <c r="A25" s="19" t="s">
        <v>535</v>
      </c>
      <c r="B25" s="22">
        <v>44705</v>
      </c>
      <c r="C25" s="20" t="s">
        <v>536</v>
      </c>
      <c r="D25" t="s">
        <v>497</v>
      </c>
    </row>
    <row r="26" spans="1:4" ht="43.5" customHeight="1">
      <c r="A26" s="19" t="s">
        <v>537</v>
      </c>
      <c r="B26" s="22">
        <v>44719</v>
      </c>
      <c r="C26" s="20" t="s">
        <v>538</v>
      </c>
      <c r="D26" s="133" t="s">
        <v>530</v>
      </c>
    </row>
    <row r="27" spans="1:4">
      <c r="A27" s="19" t="s">
        <v>539</v>
      </c>
      <c r="B27" s="22">
        <v>44720</v>
      </c>
      <c r="C27" s="21" t="s">
        <v>540</v>
      </c>
      <c r="D27" t="s">
        <v>497</v>
      </c>
    </row>
    <row r="28" spans="1:4" ht="43.5" customHeight="1">
      <c r="A28" s="19" t="s">
        <v>541</v>
      </c>
      <c r="B28" s="22">
        <v>44733</v>
      </c>
      <c r="C28" s="20" t="s">
        <v>542</v>
      </c>
      <c r="D28" t="s">
        <v>497</v>
      </c>
    </row>
    <row r="29" spans="1:4" ht="43.5" customHeight="1">
      <c r="A29" s="19" t="s">
        <v>543</v>
      </c>
      <c r="B29" s="22">
        <v>44739</v>
      </c>
      <c r="C29" s="20" t="s">
        <v>544</v>
      </c>
      <c r="D29" t="s">
        <v>497</v>
      </c>
    </row>
    <row r="30" spans="1:4" ht="29.1" customHeight="1">
      <c r="A30" s="19" t="s">
        <v>545</v>
      </c>
      <c r="B30" s="22">
        <v>44748</v>
      </c>
      <c r="C30" s="20" t="s">
        <v>546</v>
      </c>
      <c r="D30" t="s">
        <v>497</v>
      </c>
    </row>
    <row r="31" spans="1:4" ht="57.9" customHeight="1">
      <c r="A31" s="19" t="s">
        <v>547</v>
      </c>
      <c r="B31" s="22">
        <v>44776</v>
      </c>
      <c r="C31" s="20" t="s">
        <v>548</v>
      </c>
      <c r="D31" t="s">
        <v>549</v>
      </c>
    </row>
    <row r="32" spans="1:4">
      <c r="A32" s="19" t="s">
        <v>550</v>
      </c>
      <c r="B32" s="22">
        <v>44781</v>
      </c>
      <c r="C32" s="21" t="s">
        <v>551</v>
      </c>
      <c r="D32" t="s">
        <v>497</v>
      </c>
    </row>
    <row r="33" spans="1:4" ht="57.9" customHeight="1">
      <c r="A33" s="19" t="s">
        <v>552</v>
      </c>
      <c r="B33" s="22">
        <v>44804</v>
      </c>
      <c r="C33" s="20" t="s">
        <v>553</v>
      </c>
      <c r="D33" s="133" t="s">
        <v>554</v>
      </c>
    </row>
    <row r="34" spans="1:4">
      <c r="A34" s="19" t="s">
        <v>555</v>
      </c>
      <c r="B34" s="22">
        <v>44971</v>
      </c>
      <c r="C34" s="21" t="s">
        <v>556</v>
      </c>
      <c r="D34" t="s">
        <v>557</v>
      </c>
    </row>
    <row r="35" spans="1:4" ht="28.8">
      <c r="A35" s="19" t="s">
        <v>558</v>
      </c>
      <c r="B35" s="22">
        <v>44986</v>
      </c>
      <c r="C35" s="20" t="s">
        <v>559</v>
      </c>
      <c r="D35" t="s">
        <v>497</v>
      </c>
    </row>
    <row r="36" spans="1:4" ht="28.8">
      <c r="A36" s="19" t="s">
        <v>560</v>
      </c>
      <c r="B36" s="22">
        <v>45036</v>
      </c>
      <c r="C36" s="20" t="s">
        <v>561</v>
      </c>
      <c r="D36" t="s">
        <v>497</v>
      </c>
    </row>
    <row r="37" spans="1:4" ht="28.8">
      <c r="A37" s="19" t="s">
        <v>562</v>
      </c>
      <c r="B37" s="22">
        <v>45048</v>
      </c>
      <c r="C37" s="20" t="s">
        <v>563</v>
      </c>
      <c r="D37" t="s">
        <v>497</v>
      </c>
    </row>
    <row r="38" spans="1:4">
      <c r="A38" s="19" t="s">
        <v>564</v>
      </c>
      <c r="B38" s="22">
        <v>45084</v>
      </c>
      <c r="C38" s="21" t="s">
        <v>565</v>
      </c>
      <c r="D38" t="s">
        <v>497</v>
      </c>
    </row>
    <row r="39" spans="1:4" ht="43.2">
      <c r="A39" s="19" t="s">
        <v>566</v>
      </c>
      <c r="B39" s="22">
        <v>45341</v>
      </c>
      <c r="C39" s="20" t="s">
        <v>567</v>
      </c>
      <c r="D39" s="133" t="s">
        <v>568</v>
      </c>
    </row>
    <row r="40" spans="1:4" ht="43.2">
      <c r="A40" s="19" t="s">
        <v>569</v>
      </c>
      <c r="B40" s="22">
        <v>45531</v>
      </c>
      <c r="C40" s="20" t="s">
        <v>570</v>
      </c>
      <c r="D40" s="133" t="s">
        <v>571</v>
      </c>
    </row>
    <row r="41" spans="1:4">
      <c r="A41" s="19" t="s">
        <v>16</v>
      </c>
      <c r="B41" s="22">
        <v>45617</v>
      </c>
      <c r="C41" s="21" t="s">
        <v>572</v>
      </c>
      <c r="D41" t="s">
        <v>497</v>
      </c>
    </row>
  </sheetData>
  <mergeCells count="1">
    <mergeCell ref="A1:J1"/>
  </mergeCells>
  <pageMargins left="0.7" right="0.7" top="0.78740157499999996" bottom="0.78740157499999996" header="0.3" footer="0.3"/>
  <pageSetup paperSize="9" orientation="portrait" horizontalDpi="0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499984740745262"/>
  </sheetPr>
  <dimension ref="H3:BB102"/>
  <sheetViews>
    <sheetView workbookViewId="0">
      <selection activeCell="S31" sqref="S31"/>
    </sheetView>
  </sheetViews>
  <sheetFormatPr baseColWidth="10" defaultColWidth="11.44140625" defaultRowHeight="14.4"/>
  <sheetData>
    <row r="3" spans="8:54">
      <c r="H3" s="142">
        <v>0</v>
      </c>
      <c r="I3" s="142">
        <v>0</v>
      </c>
      <c r="J3" s="142">
        <v>0</v>
      </c>
      <c r="K3" s="142">
        <v>0</v>
      </c>
      <c r="L3" s="142">
        <v>0</v>
      </c>
      <c r="M3" s="142">
        <v>0</v>
      </c>
      <c r="N3" s="142">
        <v>0</v>
      </c>
      <c r="O3" s="142">
        <v>0</v>
      </c>
      <c r="P3" s="142">
        <v>0</v>
      </c>
      <c r="Q3" s="142">
        <v>0</v>
      </c>
      <c r="R3" s="142">
        <v>0</v>
      </c>
      <c r="S3" s="142">
        <v>0</v>
      </c>
      <c r="T3" s="142">
        <v>0</v>
      </c>
      <c r="U3" s="143">
        <v>1</v>
      </c>
      <c r="V3" s="143">
        <v>1</v>
      </c>
      <c r="W3" s="143">
        <v>1</v>
      </c>
      <c r="X3" s="143">
        <v>1</v>
      </c>
      <c r="Y3" s="143">
        <v>1</v>
      </c>
      <c r="Z3" s="143">
        <v>1</v>
      </c>
      <c r="AA3" s="143">
        <v>1</v>
      </c>
      <c r="AB3" s="143">
        <v>1</v>
      </c>
      <c r="AC3" s="143">
        <v>1</v>
      </c>
      <c r="AD3" s="144">
        <v>2</v>
      </c>
      <c r="AE3" s="142">
        <v>0</v>
      </c>
      <c r="AF3" s="142">
        <v>0</v>
      </c>
      <c r="AG3" s="142">
        <v>0</v>
      </c>
      <c r="AH3" s="142">
        <v>0</v>
      </c>
      <c r="AI3" s="145">
        <v>3</v>
      </c>
      <c r="AJ3" s="142">
        <v>0</v>
      </c>
      <c r="AK3" s="146">
        <v>4</v>
      </c>
      <c r="AL3" s="143">
        <v>1</v>
      </c>
      <c r="AM3" s="143">
        <v>1</v>
      </c>
      <c r="AN3" s="142">
        <v>0</v>
      </c>
      <c r="AO3" s="142">
        <v>0</v>
      </c>
      <c r="AP3" s="145">
        <v>3</v>
      </c>
      <c r="AQ3" s="142">
        <v>0</v>
      </c>
      <c r="AR3" s="143">
        <v>1</v>
      </c>
      <c r="AS3" s="143">
        <v>1</v>
      </c>
      <c r="AT3" s="145">
        <v>3</v>
      </c>
      <c r="AU3" s="142">
        <v>0</v>
      </c>
      <c r="AV3" s="142">
        <v>0</v>
      </c>
      <c r="AW3" s="142">
        <v>0</v>
      </c>
      <c r="AX3" s="142">
        <v>0</v>
      </c>
      <c r="AY3" s="143">
        <v>1</v>
      </c>
      <c r="AZ3" s="142">
        <v>0</v>
      </c>
      <c r="BA3" s="142">
        <v>0</v>
      </c>
      <c r="BB3" s="142">
        <v>0</v>
      </c>
    </row>
    <row r="4" spans="8:54">
      <c r="H4" s="142">
        <v>0</v>
      </c>
      <c r="I4" s="142">
        <v>0</v>
      </c>
      <c r="J4" s="142">
        <v>0</v>
      </c>
      <c r="K4" s="142">
        <v>0</v>
      </c>
      <c r="L4" s="142">
        <v>0</v>
      </c>
      <c r="M4" s="142">
        <v>0</v>
      </c>
      <c r="N4" s="142">
        <v>0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2">
        <v>0</v>
      </c>
      <c r="U4" s="143">
        <v>1</v>
      </c>
      <c r="V4" s="143">
        <v>1</v>
      </c>
      <c r="W4" s="143">
        <v>1</v>
      </c>
      <c r="X4" s="143">
        <v>1</v>
      </c>
      <c r="Y4" s="143">
        <v>1</v>
      </c>
      <c r="Z4" s="143">
        <v>1</v>
      </c>
      <c r="AA4" s="143">
        <v>1</v>
      </c>
      <c r="AB4" s="143">
        <v>1</v>
      </c>
      <c r="AC4" s="143">
        <v>1</v>
      </c>
      <c r="AD4" s="144">
        <v>2</v>
      </c>
      <c r="AE4" s="142">
        <v>0</v>
      </c>
      <c r="AF4" s="142">
        <v>0</v>
      </c>
      <c r="AG4" s="142">
        <v>0</v>
      </c>
      <c r="AH4" s="142">
        <v>0</v>
      </c>
      <c r="AI4" s="145">
        <v>3</v>
      </c>
      <c r="AJ4" s="142">
        <v>0</v>
      </c>
      <c r="AK4" s="146">
        <v>4</v>
      </c>
      <c r="AL4" s="144">
        <v>2</v>
      </c>
      <c r="AM4" s="143">
        <v>1</v>
      </c>
      <c r="AN4" s="142">
        <v>0</v>
      </c>
      <c r="AO4" s="142">
        <v>0</v>
      </c>
      <c r="AP4" s="145">
        <v>3</v>
      </c>
      <c r="AQ4" s="142">
        <v>0</v>
      </c>
      <c r="AR4" s="143">
        <v>1</v>
      </c>
      <c r="AS4" s="143">
        <v>1</v>
      </c>
      <c r="AT4" s="145">
        <v>3</v>
      </c>
      <c r="AU4" s="142">
        <v>0</v>
      </c>
      <c r="AV4" s="142">
        <v>0</v>
      </c>
      <c r="AW4" s="142">
        <v>0</v>
      </c>
      <c r="AX4" s="142">
        <v>0</v>
      </c>
      <c r="AY4" s="143">
        <v>1</v>
      </c>
      <c r="AZ4" s="142">
        <v>0</v>
      </c>
      <c r="BA4" s="142">
        <v>0</v>
      </c>
      <c r="BB4" s="142">
        <v>0</v>
      </c>
    </row>
    <row r="5" spans="8:54">
      <c r="H5" s="142">
        <v>0</v>
      </c>
      <c r="I5" s="142">
        <v>0</v>
      </c>
      <c r="J5" s="142">
        <v>0</v>
      </c>
      <c r="K5" s="142">
        <v>0</v>
      </c>
      <c r="L5" s="142">
        <v>0</v>
      </c>
      <c r="M5" s="142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2">
        <v>0</v>
      </c>
      <c r="U5" s="143">
        <v>1</v>
      </c>
      <c r="V5" s="142">
        <v>0</v>
      </c>
      <c r="W5" s="143">
        <v>1</v>
      </c>
      <c r="X5" s="143">
        <v>1</v>
      </c>
      <c r="Y5" s="142">
        <v>0</v>
      </c>
      <c r="Z5" s="143">
        <v>1</v>
      </c>
      <c r="AA5" s="142">
        <v>0</v>
      </c>
      <c r="AB5" s="142">
        <v>0</v>
      </c>
      <c r="AC5" s="142">
        <v>0</v>
      </c>
      <c r="AD5" s="144">
        <v>2</v>
      </c>
      <c r="AE5" s="142">
        <v>0</v>
      </c>
      <c r="AF5" s="142">
        <v>0</v>
      </c>
      <c r="AG5" s="142">
        <v>0</v>
      </c>
      <c r="AH5" s="142">
        <v>0</v>
      </c>
      <c r="AI5" s="142">
        <v>0</v>
      </c>
      <c r="AJ5" s="142">
        <v>0</v>
      </c>
      <c r="AK5" s="146">
        <v>4</v>
      </c>
      <c r="AL5" s="143">
        <v>1</v>
      </c>
      <c r="AM5" s="143">
        <v>1</v>
      </c>
      <c r="AN5" s="142">
        <v>0</v>
      </c>
      <c r="AO5" s="142">
        <v>0</v>
      </c>
      <c r="AP5" s="145">
        <v>3</v>
      </c>
      <c r="AQ5" s="143">
        <v>1</v>
      </c>
      <c r="AR5" s="143">
        <v>1</v>
      </c>
      <c r="AS5" s="142">
        <v>0</v>
      </c>
      <c r="AT5" s="142">
        <v>0</v>
      </c>
      <c r="AU5" s="142">
        <v>0</v>
      </c>
      <c r="AV5" s="142">
        <v>0</v>
      </c>
      <c r="AW5" s="143">
        <v>1</v>
      </c>
      <c r="AX5" s="142">
        <v>0</v>
      </c>
      <c r="AY5" s="143">
        <v>1</v>
      </c>
      <c r="AZ5" s="142">
        <v>0</v>
      </c>
      <c r="BA5" s="142">
        <v>0</v>
      </c>
      <c r="BB5" s="142">
        <v>0</v>
      </c>
    </row>
    <row r="6" spans="8:54">
      <c r="H6" s="142">
        <v>0</v>
      </c>
      <c r="I6" s="142">
        <v>0</v>
      </c>
      <c r="J6" s="142">
        <v>0</v>
      </c>
      <c r="K6" s="142">
        <v>0</v>
      </c>
      <c r="L6" s="142">
        <v>0</v>
      </c>
      <c r="M6" s="142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2">
        <v>0</v>
      </c>
      <c r="U6" s="143">
        <v>1</v>
      </c>
      <c r="V6" s="142">
        <v>0</v>
      </c>
      <c r="W6" s="142">
        <v>0</v>
      </c>
      <c r="X6" s="142">
        <v>0</v>
      </c>
      <c r="Y6" s="142">
        <v>0</v>
      </c>
      <c r="Z6" s="142">
        <v>0</v>
      </c>
      <c r="AA6" s="142">
        <v>0</v>
      </c>
      <c r="AB6" s="142">
        <v>0</v>
      </c>
      <c r="AC6" s="142">
        <v>0</v>
      </c>
      <c r="AD6" s="144">
        <v>2</v>
      </c>
      <c r="AE6" s="142">
        <v>0</v>
      </c>
      <c r="AF6" s="142">
        <v>0</v>
      </c>
      <c r="AG6" s="142">
        <v>0</v>
      </c>
      <c r="AH6" s="142">
        <v>0</v>
      </c>
      <c r="AI6" s="142">
        <v>0</v>
      </c>
      <c r="AJ6" s="142">
        <v>0</v>
      </c>
      <c r="AK6" s="146">
        <v>4</v>
      </c>
      <c r="AL6" s="143">
        <v>1</v>
      </c>
      <c r="AM6" s="143">
        <v>1</v>
      </c>
      <c r="AN6" s="142">
        <v>0</v>
      </c>
      <c r="AO6" s="142">
        <v>0</v>
      </c>
      <c r="AP6" s="145">
        <v>3</v>
      </c>
      <c r="AQ6" s="142">
        <v>0</v>
      </c>
      <c r="AR6" s="142">
        <v>0</v>
      </c>
      <c r="AS6" s="142">
        <v>0</v>
      </c>
      <c r="AT6" s="142">
        <v>0</v>
      </c>
      <c r="AU6" s="142">
        <v>0</v>
      </c>
      <c r="AV6" s="142">
        <v>0</v>
      </c>
      <c r="AW6" s="143">
        <v>1</v>
      </c>
      <c r="AX6" s="142">
        <v>0</v>
      </c>
      <c r="AY6" s="142">
        <v>0</v>
      </c>
      <c r="AZ6" s="142">
        <v>0</v>
      </c>
      <c r="BA6" s="142">
        <v>0</v>
      </c>
      <c r="BB6" s="142">
        <v>0</v>
      </c>
    </row>
    <row r="7" spans="8:54"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3">
        <v>1</v>
      </c>
      <c r="V7" s="142">
        <v>0</v>
      </c>
      <c r="W7" s="142">
        <v>0</v>
      </c>
      <c r="X7" s="142">
        <v>0</v>
      </c>
      <c r="Y7" s="142">
        <v>0</v>
      </c>
      <c r="Z7" s="142">
        <v>0</v>
      </c>
      <c r="AA7" s="143">
        <v>1</v>
      </c>
      <c r="AB7" s="142">
        <v>0</v>
      </c>
      <c r="AC7" s="143">
        <v>1</v>
      </c>
      <c r="AD7" s="144">
        <v>2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  <c r="AK7" s="146">
        <v>4</v>
      </c>
      <c r="AL7" s="143">
        <v>1</v>
      </c>
      <c r="AM7" s="142">
        <v>0</v>
      </c>
      <c r="AN7" s="142">
        <v>0</v>
      </c>
      <c r="AO7" s="142">
        <v>0</v>
      </c>
      <c r="AP7" s="145">
        <v>3</v>
      </c>
      <c r="AQ7" s="142">
        <v>0</v>
      </c>
      <c r="AR7" s="142">
        <v>0</v>
      </c>
      <c r="AS7" s="142">
        <v>0</v>
      </c>
      <c r="AT7" s="143">
        <v>1</v>
      </c>
      <c r="AU7" s="142">
        <v>0</v>
      </c>
      <c r="AV7" s="142">
        <v>0</v>
      </c>
      <c r="AW7" s="142">
        <v>0</v>
      </c>
      <c r="AX7" s="142">
        <v>0</v>
      </c>
      <c r="AY7" s="142">
        <v>0</v>
      </c>
      <c r="AZ7" s="142">
        <v>0</v>
      </c>
      <c r="BA7" s="142">
        <v>0</v>
      </c>
      <c r="BB7" s="142">
        <v>0</v>
      </c>
    </row>
    <row r="8" spans="8:54"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2">
        <v>0</v>
      </c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3">
        <v>1</v>
      </c>
      <c r="V8" s="142">
        <v>0</v>
      </c>
      <c r="W8" s="143">
        <v>1</v>
      </c>
      <c r="X8" s="143">
        <v>1</v>
      </c>
      <c r="Y8" s="143">
        <v>1</v>
      </c>
      <c r="Z8" s="142">
        <v>0</v>
      </c>
      <c r="AA8" s="143">
        <v>1</v>
      </c>
      <c r="AB8" s="142">
        <v>0</v>
      </c>
      <c r="AC8" s="143">
        <v>1</v>
      </c>
      <c r="AD8" s="144">
        <v>2</v>
      </c>
      <c r="AE8" s="142">
        <v>0</v>
      </c>
      <c r="AF8" s="142">
        <v>0</v>
      </c>
      <c r="AG8" s="142">
        <v>0</v>
      </c>
      <c r="AH8" s="142">
        <v>0</v>
      </c>
      <c r="AI8" s="142">
        <v>0</v>
      </c>
      <c r="AJ8" s="142">
        <v>0</v>
      </c>
      <c r="AK8" s="146">
        <v>4</v>
      </c>
      <c r="AL8" s="143">
        <v>1</v>
      </c>
      <c r="AM8" s="143">
        <v>1</v>
      </c>
      <c r="AN8" s="142">
        <v>0</v>
      </c>
      <c r="AO8" s="142">
        <v>0</v>
      </c>
      <c r="AP8" s="145">
        <v>3</v>
      </c>
      <c r="AQ8" s="142">
        <v>0</v>
      </c>
      <c r="AR8" s="143">
        <v>1</v>
      </c>
      <c r="AS8" s="142">
        <v>0</v>
      </c>
      <c r="AT8" s="143">
        <v>1</v>
      </c>
      <c r="AU8" s="142">
        <v>0</v>
      </c>
      <c r="AV8" s="142">
        <v>0</v>
      </c>
      <c r="AW8" s="142">
        <v>0</v>
      </c>
      <c r="AX8" s="142">
        <v>0</v>
      </c>
      <c r="AY8" s="142">
        <v>0</v>
      </c>
      <c r="AZ8" s="142">
        <v>0</v>
      </c>
      <c r="BA8" s="142">
        <v>0</v>
      </c>
      <c r="BB8" s="142">
        <v>0</v>
      </c>
    </row>
    <row r="9" spans="8:54">
      <c r="H9" s="142">
        <v>0</v>
      </c>
      <c r="I9" s="142">
        <v>0</v>
      </c>
      <c r="J9" s="142">
        <v>0</v>
      </c>
      <c r="K9" s="142">
        <v>0</v>
      </c>
      <c r="L9" s="142">
        <v>0</v>
      </c>
      <c r="M9" s="142">
        <v>0</v>
      </c>
      <c r="N9" s="142">
        <v>0</v>
      </c>
      <c r="O9" s="142">
        <v>0</v>
      </c>
      <c r="P9" s="142">
        <v>0</v>
      </c>
      <c r="Q9" s="142">
        <v>0</v>
      </c>
      <c r="R9" s="142">
        <v>0</v>
      </c>
      <c r="S9" s="142">
        <v>0</v>
      </c>
      <c r="T9" s="142">
        <v>0</v>
      </c>
      <c r="U9" s="143">
        <v>1</v>
      </c>
      <c r="V9" s="143">
        <v>1</v>
      </c>
      <c r="W9" s="143">
        <v>1</v>
      </c>
      <c r="X9" s="143">
        <v>1</v>
      </c>
      <c r="Y9" s="142">
        <v>0</v>
      </c>
      <c r="Z9" s="142">
        <v>0</v>
      </c>
      <c r="AA9" s="142">
        <v>0</v>
      </c>
      <c r="AB9" s="142">
        <v>0</v>
      </c>
      <c r="AC9" s="142">
        <v>0</v>
      </c>
      <c r="AD9" s="143">
        <v>1</v>
      </c>
      <c r="AE9" s="142">
        <v>0</v>
      </c>
      <c r="AF9" s="142">
        <v>0</v>
      </c>
      <c r="AG9" s="142">
        <v>0</v>
      </c>
      <c r="AH9" s="142">
        <v>0</v>
      </c>
      <c r="AI9" s="145">
        <v>3</v>
      </c>
      <c r="AJ9" s="142">
        <v>0</v>
      </c>
      <c r="AK9" s="145">
        <v>3</v>
      </c>
      <c r="AL9" s="143">
        <v>1</v>
      </c>
      <c r="AM9" s="142">
        <v>0</v>
      </c>
      <c r="AN9" s="142">
        <v>0</v>
      </c>
      <c r="AO9" s="142">
        <v>0</v>
      </c>
      <c r="AP9" s="145">
        <v>3</v>
      </c>
      <c r="AQ9" s="142">
        <v>0</v>
      </c>
      <c r="AR9" s="142">
        <v>0</v>
      </c>
      <c r="AS9" s="142">
        <v>0</v>
      </c>
      <c r="AT9" s="145">
        <v>3</v>
      </c>
      <c r="AU9" s="142">
        <v>0</v>
      </c>
      <c r="AV9" s="142">
        <v>0</v>
      </c>
      <c r="AW9" s="142">
        <v>0</v>
      </c>
      <c r="AX9" s="142">
        <v>0</v>
      </c>
      <c r="AY9" s="142">
        <v>0</v>
      </c>
      <c r="AZ9" s="142">
        <v>0</v>
      </c>
      <c r="BA9" s="142">
        <v>0</v>
      </c>
      <c r="BB9" s="142">
        <v>0</v>
      </c>
    </row>
    <row r="10" spans="8:54">
      <c r="H10" s="142">
        <v>0</v>
      </c>
      <c r="I10" s="142">
        <v>0</v>
      </c>
      <c r="J10" s="142">
        <v>0</v>
      </c>
      <c r="K10" s="142">
        <v>0</v>
      </c>
      <c r="L10" s="142">
        <v>0</v>
      </c>
      <c r="M10" s="142">
        <v>0</v>
      </c>
      <c r="N10" s="142">
        <v>0</v>
      </c>
      <c r="O10" s="142">
        <v>0</v>
      </c>
      <c r="P10" s="142">
        <v>0</v>
      </c>
      <c r="Q10" s="142">
        <v>0</v>
      </c>
      <c r="R10" s="142">
        <v>0</v>
      </c>
      <c r="S10" s="142">
        <v>0</v>
      </c>
      <c r="T10" s="142">
        <v>0</v>
      </c>
      <c r="U10" s="142">
        <v>0</v>
      </c>
      <c r="V10" s="142">
        <v>0</v>
      </c>
      <c r="W10" s="142">
        <v>0</v>
      </c>
      <c r="X10" s="142">
        <v>0</v>
      </c>
      <c r="Y10" s="142">
        <v>0</v>
      </c>
      <c r="Z10" s="142">
        <v>0</v>
      </c>
      <c r="AA10" s="142">
        <v>0</v>
      </c>
      <c r="AB10" s="142">
        <v>0</v>
      </c>
      <c r="AC10" s="142">
        <v>0</v>
      </c>
      <c r="AD10" s="143">
        <v>1</v>
      </c>
      <c r="AE10" s="142">
        <v>0</v>
      </c>
      <c r="AF10" s="142">
        <v>0</v>
      </c>
      <c r="AG10" s="142">
        <v>0</v>
      </c>
      <c r="AH10" s="142">
        <v>0</v>
      </c>
      <c r="AI10" s="144">
        <v>2</v>
      </c>
      <c r="AJ10" s="142">
        <v>0</v>
      </c>
      <c r="AK10" s="145">
        <v>3</v>
      </c>
      <c r="AL10" s="143">
        <v>1</v>
      </c>
      <c r="AM10" s="142">
        <v>0</v>
      </c>
      <c r="AN10" s="142">
        <v>0</v>
      </c>
      <c r="AO10" s="142">
        <v>0</v>
      </c>
      <c r="AP10" s="145">
        <v>3</v>
      </c>
      <c r="AQ10" s="142">
        <v>0</v>
      </c>
      <c r="AR10" s="142">
        <v>0</v>
      </c>
      <c r="AS10" s="142">
        <v>0</v>
      </c>
      <c r="AT10" s="145">
        <v>3</v>
      </c>
      <c r="AU10" s="142">
        <v>0</v>
      </c>
      <c r="AV10" s="142">
        <v>0</v>
      </c>
      <c r="AW10" s="142">
        <v>0</v>
      </c>
      <c r="AX10" s="142">
        <v>0</v>
      </c>
      <c r="AY10" s="142">
        <v>0</v>
      </c>
      <c r="AZ10" s="142">
        <v>0</v>
      </c>
      <c r="BA10" s="142">
        <v>0</v>
      </c>
      <c r="BB10" s="142">
        <v>0</v>
      </c>
    </row>
    <row r="11" spans="8:54"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2">
        <v>0</v>
      </c>
      <c r="AA11" s="143">
        <v>1</v>
      </c>
      <c r="AB11" s="142">
        <v>0</v>
      </c>
      <c r="AC11" s="143">
        <v>1</v>
      </c>
      <c r="AD11" s="144">
        <v>2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  <c r="AK11" s="146">
        <v>4</v>
      </c>
      <c r="AL11" s="143">
        <v>1</v>
      </c>
      <c r="AM11" s="143">
        <v>1</v>
      </c>
      <c r="AN11" s="142">
        <v>0</v>
      </c>
      <c r="AO11" s="142">
        <v>0</v>
      </c>
      <c r="AP11" s="145">
        <v>3</v>
      </c>
      <c r="AQ11" s="142">
        <v>0</v>
      </c>
      <c r="AR11" s="142">
        <v>0</v>
      </c>
      <c r="AS11" s="143">
        <v>1</v>
      </c>
      <c r="AT11" s="142">
        <v>0</v>
      </c>
      <c r="AU11" s="142">
        <v>0</v>
      </c>
      <c r="AV11" s="142">
        <v>0</v>
      </c>
      <c r="AW11" s="142">
        <v>0</v>
      </c>
      <c r="AX11" s="142">
        <v>0</v>
      </c>
      <c r="AY11" s="142">
        <v>0</v>
      </c>
      <c r="AZ11" s="142">
        <v>0</v>
      </c>
      <c r="BA11" s="142">
        <v>0</v>
      </c>
      <c r="BB11" s="142">
        <v>0</v>
      </c>
    </row>
    <row r="12" spans="8:54"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2">
        <v>0</v>
      </c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2">
        <v>0</v>
      </c>
      <c r="AA12" s="142">
        <v>0</v>
      </c>
      <c r="AB12" s="142">
        <v>0</v>
      </c>
      <c r="AC12" s="142">
        <v>0</v>
      </c>
      <c r="AD12" s="144">
        <v>2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5">
        <v>3</v>
      </c>
      <c r="AL12" s="143">
        <v>1</v>
      </c>
      <c r="AM12" s="142">
        <v>0</v>
      </c>
      <c r="AN12" s="142">
        <v>0</v>
      </c>
      <c r="AO12" s="142">
        <v>0</v>
      </c>
      <c r="AP12" s="145">
        <v>3</v>
      </c>
      <c r="AQ12" s="142">
        <v>0</v>
      </c>
      <c r="AR12" s="142">
        <v>0</v>
      </c>
      <c r="AS12" s="142">
        <v>0</v>
      </c>
      <c r="AT12" s="142">
        <v>0</v>
      </c>
      <c r="AU12" s="142">
        <v>0</v>
      </c>
      <c r="AV12" s="142">
        <v>0</v>
      </c>
      <c r="AW12" s="142">
        <v>0</v>
      </c>
      <c r="AX12" s="142">
        <v>0</v>
      </c>
      <c r="AY12" s="142">
        <v>0</v>
      </c>
      <c r="AZ12" s="142">
        <v>0</v>
      </c>
      <c r="BA12" s="142">
        <v>0</v>
      </c>
      <c r="BB12" s="142">
        <v>0</v>
      </c>
    </row>
    <row r="13" spans="8:54"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0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3">
        <v>1</v>
      </c>
      <c r="V13" s="142">
        <v>0</v>
      </c>
      <c r="W13" s="143">
        <v>1</v>
      </c>
      <c r="X13" s="142">
        <v>0</v>
      </c>
      <c r="Y13" s="142">
        <v>0</v>
      </c>
      <c r="Z13" s="143">
        <v>1</v>
      </c>
      <c r="AA13" s="142">
        <v>0</v>
      </c>
      <c r="AB13" s="143">
        <v>1</v>
      </c>
      <c r="AC13" s="143">
        <v>1</v>
      </c>
      <c r="AD13" s="144">
        <v>2</v>
      </c>
      <c r="AE13" s="142">
        <v>0</v>
      </c>
      <c r="AF13" s="142">
        <v>0</v>
      </c>
      <c r="AG13" s="143">
        <v>1</v>
      </c>
      <c r="AH13" s="142">
        <v>0</v>
      </c>
      <c r="AI13" s="142">
        <v>0</v>
      </c>
      <c r="AJ13" s="142">
        <v>0</v>
      </c>
      <c r="AK13" s="145">
        <v>3</v>
      </c>
      <c r="AL13" s="142">
        <v>0</v>
      </c>
      <c r="AM13" s="142">
        <v>0</v>
      </c>
      <c r="AN13" s="142">
        <v>0</v>
      </c>
      <c r="AO13" s="142">
        <v>0</v>
      </c>
      <c r="AP13" s="145">
        <v>3</v>
      </c>
      <c r="AQ13" s="142">
        <v>0</v>
      </c>
      <c r="AR13" s="142">
        <v>0</v>
      </c>
      <c r="AS13" s="142">
        <v>0</v>
      </c>
      <c r="AT13" s="142">
        <v>0</v>
      </c>
      <c r="AU13" s="142">
        <v>0</v>
      </c>
      <c r="AV13" s="143">
        <v>1</v>
      </c>
      <c r="AW13" s="142">
        <v>0</v>
      </c>
      <c r="AX13" s="142">
        <v>0</v>
      </c>
      <c r="AY13" s="143">
        <v>1</v>
      </c>
      <c r="AZ13" s="142">
        <v>0</v>
      </c>
      <c r="BA13" s="142">
        <v>0</v>
      </c>
      <c r="BB13" s="142">
        <v>0</v>
      </c>
    </row>
    <row r="14" spans="8:54"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2">
        <v>0</v>
      </c>
      <c r="AA14" s="142">
        <v>0</v>
      </c>
      <c r="AB14" s="142">
        <v>0</v>
      </c>
      <c r="AC14" s="142">
        <v>0</v>
      </c>
      <c r="AD14" s="144">
        <v>2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  <c r="AK14" s="142">
        <v>0</v>
      </c>
      <c r="AL14" s="142">
        <v>0</v>
      </c>
      <c r="AM14" s="142">
        <v>0</v>
      </c>
      <c r="AN14" s="142">
        <v>0</v>
      </c>
      <c r="AO14" s="142">
        <v>0</v>
      </c>
      <c r="AP14" s="142">
        <v>0</v>
      </c>
      <c r="AQ14" s="142">
        <v>0</v>
      </c>
      <c r="AR14" s="142">
        <v>0</v>
      </c>
      <c r="AS14" s="142">
        <v>0</v>
      </c>
      <c r="AT14" s="142">
        <v>0</v>
      </c>
      <c r="AU14" s="142">
        <v>0</v>
      </c>
      <c r="AV14" s="142">
        <v>0</v>
      </c>
      <c r="AW14" s="142">
        <v>0</v>
      </c>
      <c r="AX14" s="142">
        <v>0</v>
      </c>
      <c r="AY14" s="142">
        <v>0</v>
      </c>
      <c r="AZ14" s="142">
        <v>0</v>
      </c>
      <c r="BA14" s="142">
        <v>0</v>
      </c>
      <c r="BB14" s="142">
        <v>0</v>
      </c>
    </row>
    <row r="15" spans="8:54"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3">
        <v>1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3">
        <v>1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142">
        <v>0</v>
      </c>
      <c r="AZ15" s="142">
        <v>0</v>
      </c>
      <c r="BA15" s="142">
        <v>0</v>
      </c>
      <c r="BB15" s="142">
        <v>0</v>
      </c>
    </row>
    <row r="16" spans="8:54"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3">
        <v>1</v>
      </c>
      <c r="V16" s="143">
        <v>1</v>
      </c>
      <c r="W16" s="143">
        <v>1</v>
      </c>
      <c r="X16" s="143">
        <v>1</v>
      </c>
      <c r="Y16" s="142">
        <v>0</v>
      </c>
      <c r="Z16" s="143">
        <v>1</v>
      </c>
      <c r="AA16" s="142">
        <v>0</v>
      </c>
      <c r="AB16" s="142">
        <v>0</v>
      </c>
      <c r="AC16" s="142">
        <v>0</v>
      </c>
      <c r="AD16" s="144">
        <v>2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  <c r="AK16" s="146">
        <v>4</v>
      </c>
      <c r="AL16" s="142">
        <v>0</v>
      </c>
      <c r="AM16" s="143">
        <v>1</v>
      </c>
      <c r="AN16" s="142">
        <v>0</v>
      </c>
      <c r="AO16" s="142">
        <v>0</v>
      </c>
      <c r="AP16" s="145">
        <v>3</v>
      </c>
      <c r="AQ16" s="142">
        <v>0</v>
      </c>
      <c r="AR16" s="142">
        <v>0</v>
      </c>
      <c r="AS16" s="143">
        <v>1</v>
      </c>
      <c r="AT16" s="142">
        <v>0</v>
      </c>
      <c r="AU16" s="142">
        <v>0</v>
      </c>
      <c r="AV16" s="142">
        <v>0</v>
      </c>
      <c r="AW16" s="142">
        <v>0</v>
      </c>
      <c r="AX16" s="142">
        <v>0</v>
      </c>
      <c r="AY16" s="142">
        <v>0</v>
      </c>
      <c r="AZ16" s="142">
        <v>0</v>
      </c>
      <c r="BA16" s="142">
        <v>0</v>
      </c>
      <c r="BB16" s="142">
        <v>0</v>
      </c>
    </row>
    <row r="17" spans="8:54"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3">
        <v>1</v>
      </c>
      <c r="V17" s="142">
        <v>0</v>
      </c>
      <c r="W17" s="143">
        <v>1</v>
      </c>
      <c r="X17" s="143">
        <v>1</v>
      </c>
      <c r="Y17" s="142">
        <v>0</v>
      </c>
      <c r="Z17" s="142">
        <v>0</v>
      </c>
      <c r="AA17" s="142">
        <v>0</v>
      </c>
      <c r="AB17" s="142">
        <v>0</v>
      </c>
      <c r="AC17" s="142">
        <v>0</v>
      </c>
      <c r="AD17" s="144">
        <v>2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6">
        <v>4</v>
      </c>
      <c r="AL17" s="142">
        <v>0</v>
      </c>
      <c r="AM17" s="143">
        <v>1</v>
      </c>
      <c r="AN17" s="142">
        <v>0</v>
      </c>
      <c r="AO17" s="142">
        <v>0</v>
      </c>
      <c r="AP17" s="145">
        <v>3</v>
      </c>
      <c r="AQ17" s="142">
        <v>0</v>
      </c>
      <c r="AR17" s="142">
        <v>0</v>
      </c>
      <c r="AS17" s="143">
        <v>1</v>
      </c>
      <c r="AT17" s="142">
        <v>0</v>
      </c>
      <c r="AU17" s="142">
        <v>0</v>
      </c>
      <c r="AV17" s="142">
        <v>0</v>
      </c>
      <c r="AW17" s="142">
        <v>0</v>
      </c>
      <c r="AX17" s="142">
        <v>0</v>
      </c>
      <c r="AY17" s="142">
        <v>0</v>
      </c>
      <c r="AZ17" s="142">
        <v>0</v>
      </c>
      <c r="BA17" s="142">
        <v>0</v>
      </c>
      <c r="BB17" s="142">
        <v>0</v>
      </c>
    </row>
    <row r="18" spans="8:54"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3">
        <v>1</v>
      </c>
      <c r="X18" s="143">
        <v>1</v>
      </c>
      <c r="Y18" s="142">
        <v>0</v>
      </c>
      <c r="Z18" s="143">
        <v>1</v>
      </c>
      <c r="AA18" s="142">
        <v>0</v>
      </c>
      <c r="AB18" s="142">
        <v>0</v>
      </c>
      <c r="AC18" s="142">
        <v>0</v>
      </c>
      <c r="AD18" s="144">
        <v>2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  <c r="AK18" s="146">
        <v>4</v>
      </c>
      <c r="AL18" s="142">
        <v>0</v>
      </c>
      <c r="AM18" s="143">
        <v>1</v>
      </c>
      <c r="AN18" s="142">
        <v>0</v>
      </c>
      <c r="AO18" s="142">
        <v>0</v>
      </c>
      <c r="AP18" s="145">
        <v>3</v>
      </c>
      <c r="AQ18" s="142">
        <v>0</v>
      </c>
      <c r="AR18" s="142">
        <v>0</v>
      </c>
      <c r="AS18" s="143">
        <v>1</v>
      </c>
      <c r="AT18" s="142">
        <v>0</v>
      </c>
      <c r="AU18" s="142">
        <v>0</v>
      </c>
      <c r="AV18" s="142">
        <v>0</v>
      </c>
      <c r="AW18" s="142">
        <v>0</v>
      </c>
      <c r="AX18" s="142">
        <v>0</v>
      </c>
      <c r="AY18" s="143">
        <v>1</v>
      </c>
      <c r="AZ18" s="142">
        <v>0</v>
      </c>
      <c r="BA18" s="142">
        <v>0</v>
      </c>
      <c r="BB18" s="142">
        <v>0</v>
      </c>
    </row>
    <row r="19" spans="8:54"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4">
        <v>2</v>
      </c>
      <c r="V19" s="143">
        <v>1</v>
      </c>
      <c r="W19" s="142">
        <v>0</v>
      </c>
      <c r="X19" s="142">
        <v>0</v>
      </c>
      <c r="Y19" s="142">
        <v>0</v>
      </c>
      <c r="Z19" s="143">
        <v>1</v>
      </c>
      <c r="AA19" s="143">
        <v>1</v>
      </c>
      <c r="AB19" s="142">
        <v>0</v>
      </c>
      <c r="AC19" s="144">
        <v>2</v>
      </c>
      <c r="AD19" s="143">
        <v>1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4">
        <v>2</v>
      </c>
      <c r="AL19" s="143">
        <v>1</v>
      </c>
      <c r="AM19" s="142">
        <v>0</v>
      </c>
      <c r="AN19" s="142">
        <v>0</v>
      </c>
      <c r="AO19" s="142">
        <v>0</v>
      </c>
      <c r="AP19" s="143">
        <v>1</v>
      </c>
      <c r="AQ19" s="142">
        <v>0</v>
      </c>
      <c r="AR19" s="142">
        <v>0</v>
      </c>
      <c r="AS19" s="143">
        <v>1</v>
      </c>
      <c r="AT19" s="143">
        <v>1</v>
      </c>
      <c r="AU19" s="142">
        <v>0</v>
      </c>
      <c r="AV19" s="142">
        <v>0</v>
      </c>
      <c r="AW19" s="142">
        <v>0</v>
      </c>
      <c r="AX19" s="142">
        <v>0</v>
      </c>
      <c r="AY19" s="142">
        <v>0</v>
      </c>
      <c r="AZ19" s="142">
        <v>0</v>
      </c>
      <c r="BA19" s="143">
        <v>1</v>
      </c>
      <c r="BB19" s="142">
        <v>0</v>
      </c>
    </row>
    <row r="20" spans="8:54"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2">
        <v>0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4">
        <v>2</v>
      </c>
      <c r="V20" s="143">
        <v>1</v>
      </c>
      <c r="W20" s="142">
        <v>0</v>
      </c>
      <c r="X20" s="142">
        <v>0</v>
      </c>
      <c r="Y20" s="142">
        <v>0</v>
      </c>
      <c r="Z20" s="143">
        <v>1</v>
      </c>
      <c r="AA20" s="143">
        <v>1</v>
      </c>
      <c r="AB20" s="142">
        <v>0</v>
      </c>
      <c r="AC20" s="144">
        <v>2</v>
      </c>
      <c r="AD20" s="143">
        <v>1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4">
        <v>2</v>
      </c>
      <c r="AL20" s="144">
        <v>2</v>
      </c>
      <c r="AM20" s="142">
        <v>0</v>
      </c>
      <c r="AN20" s="142">
        <v>0</v>
      </c>
      <c r="AO20" s="142">
        <v>0</v>
      </c>
      <c r="AP20" s="143">
        <v>1</v>
      </c>
      <c r="AQ20" s="142">
        <v>0</v>
      </c>
      <c r="AR20" s="142">
        <v>0</v>
      </c>
      <c r="AS20" s="143">
        <v>1</v>
      </c>
      <c r="AT20" s="143">
        <v>1</v>
      </c>
      <c r="AU20" s="142">
        <v>0</v>
      </c>
      <c r="AV20" s="142">
        <v>0</v>
      </c>
      <c r="AW20" s="142">
        <v>0</v>
      </c>
      <c r="AX20" s="142">
        <v>0</v>
      </c>
      <c r="AY20" s="142">
        <v>0</v>
      </c>
      <c r="AZ20" s="142">
        <v>0</v>
      </c>
      <c r="BA20" s="143">
        <v>1</v>
      </c>
      <c r="BB20" s="142">
        <v>0</v>
      </c>
    </row>
    <row r="21" spans="8:54"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2">
        <v>0</v>
      </c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4">
        <v>2</v>
      </c>
      <c r="V21" s="142">
        <v>0</v>
      </c>
      <c r="W21" s="143">
        <v>1</v>
      </c>
      <c r="X21" s="142">
        <v>0</v>
      </c>
      <c r="Y21" s="142">
        <v>0</v>
      </c>
      <c r="Z21" s="143">
        <v>1</v>
      </c>
      <c r="AA21" s="142">
        <v>0</v>
      </c>
      <c r="AB21" s="142">
        <v>0</v>
      </c>
      <c r="AC21" s="144">
        <v>2</v>
      </c>
      <c r="AD21" s="143">
        <v>1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4">
        <v>2</v>
      </c>
      <c r="AL21" s="143">
        <v>1</v>
      </c>
      <c r="AM21" s="143">
        <v>1</v>
      </c>
      <c r="AN21" s="142">
        <v>0</v>
      </c>
      <c r="AO21" s="142">
        <v>0</v>
      </c>
      <c r="AP21" s="145">
        <v>3</v>
      </c>
      <c r="AQ21" s="142">
        <v>0</v>
      </c>
      <c r="AR21" s="142">
        <v>0</v>
      </c>
      <c r="AS21" s="142">
        <v>0</v>
      </c>
      <c r="AT21" s="143">
        <v>1</v>
      </c>
      <c r="AU21" s="142">
        <v>0</v>
      </c>
      <c r="AV21" s="142">
        <v>0</v>
      </c>
      <c r="AW21" s="142">
        <v>0</v>
      </c>
      <c r="AX21" s="142">
        <v>0</v>
      </c>
      <c r="AY21" s="142">
        <v>0</v>
      </c>
      <c r="AZ21" s="142">
        <v>0</v>
      </c>
      <c r="BA21" s="142">
        <v>0</v>
      </c>
      <c r="BB21" s="142">
        <v>0</v>
      </c>
    </row>
    <row r="22" spans="8:54"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3">
        <v>1</v>
      </c>
      <c r="V22" s="142">
        <v>0</v>
      </c>
      <c r="W22" s="142">
        <v>0</v>
      </c>
      <c r="X22" s="142">
        <v>0</v>
      </c>
      <c r="Y22" s="142">
        <v>0</v>
      </c>
      <c r="Z22" s="143">
        <v>1</v>
      </c>
      <c r="AA22" s="142">
        <v>0</v>
      </c>
      <c r="AB22" s="142">
        <v>0</v>
      </c>
      <c r="AC22" s="142">
        <v>0</v>
      </c>
      <c r="AD22" s="144">
        <v>2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4">
        <v>2</v>
      </c>
      <c r="AL22" s="142">
        <v>0</v>
      </c>
      <c r="AM22" s="143">
        <v>1</v>
      </c>
      <c r="AN22" s="142">
        <v>0</v>
      </c>
      <c r="AO22" s="142">
        <v>0</v>
      </c>
      <c r="AP22" s="145">
        <v>3</v>
      </c>
      <c r="AQ22" s="142">
        <v>0</v>
      </c>
      <c r="AR22" s="142">
        <v>0</v>
      </c>
      <c r="AS22" s="142">
        <v>0</v>
      </c>
      <c r="AT22" s="142">
        <v>0</v>
      </c>
      <c r="AU22" s="142">
        <v>0</v>
      </c>
      <c r="AV22" s="142">
        <v>0</v>
      </c>
      <c r="AW22" s="143">
        <v>1</v>
      </c>
      <c r="AX22" s="142">
        <v>0</v>
      </c>
      <c r="AY22" s="143">
        <v>1</v>
      </c>
      <c r="AZ22" s="142">
        <v>0</v>
      </c>
      <c r="BA22" s="142">
        <v>0</v>
      </c>
      <c r="BB22" s="142">
        <v>0</v>
      </c>
    </row>
    <row r="23" spans="8:54">
      <c r="H23" s="142">
        <v>0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3">
        <v>1</v>
      </c>
      <c r="V23" s="142">
        <v>0</v>
      </c>
      <c r="W23" s="143">
        <v>1</v>
      </c>
      <c r="X23" s="143">
        <v>1</v>
      </c>
      <c r="Y23" s="142">
        <v>0</v>
      </c>
      <c r="Z23" s="142">
        <v>0</v>
      </c>
      <c r="AA23" s="142">
        <v>0</v>
      </c>
      <c r="AB23" s="143">
        <v>1</v>
      </c>
      <c r="AC23" s="143">
        <v>1</v>
      </c>
      <c r="AD23" s="144">
        <v>2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6">
        <v>4</v>
      </c>
      <c r="AL23" s="142">
        <v>0</v>
      </c>
      <c r="AM23" s="143">
        <v>1</v>
      </c>
      <c r="AN23" s="142">
        <v>0</v>
      </c>
      <c r="AO23" s="142">
        <v>0</v>
      </c>
      <c r="AP23" s="145">
        <v>3</v>
      </c>
      <c r="AQ23" s="142">
        <v>0</v>
      </c>
      <c r="AR23" s="143">
        <v>1</v>
      </c>
      <c r="AS23" s="143">
        <v>1</v>
      </c>
      <c r="AT23" s="142">
        <v>0</v>
      </c>
      <c r="AU23" s="142">
        <v>0</v>
      </c>
      <c r="AV23" s="142">
        <v>0</v>
      </c>
      <c r="AW23" s="142">
        <v>0</v>
      </c>
      <c r="AX23" s="142">
        <v>0</v>
      </c>
      <c r="AY23" s="143">
        <v>1</v>
      </c>
      <c r="AZ23" s="142">
        <v>0</v>
      </c>
      <c r="BA23" s="142">
        <v>0</v>
      </c>
      <c r="BB23" s="142">
        <v>0</v>
      </c>
    </row>
    <row r="24" spans="8:54"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2">
        <v>0</v>
      </c>
      <c r="AB24" s="142">
        <v>0</v>
      </c>
      <c r="AC24" s="142">
        <v>0</v>
      </c>
      <c r="AD24" s="143">
        <v>1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3">
        <v>1</v>
      </c>
      <c r="AK24" s="145">
        <v>3</v>
      </c>
      <c r="AL24" s="142">
        <v>0</v>
      </c>
      <c r="AM24" s="142">
        <v>0</v>
      </c>
      <c r="AN24" s="142">
        <v>0</v>
      </c>
      <c r="AO24" s="142">
        <v>0</v>
      </c>
      <c r="AP24" s="145">
        <v>3</v>
      </c>
      <c r="AQ24" s="142">
        <v>0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42">
        <v>0</v>
      </c>
      <c r="AX24" s="142">
        <v>0</v>
      </c>
      <c r="AY24" s="142">
        <v>0</v>
      </c>
      <c r="AZ24" s="142">
        <v>0</v>
      </c>
      <c r="BA24" s="142">
        <v>0</v>
      </c>
      <c r="BB24" s="142">
        <v>0</v>
      </c>
    </row>
    <row r="25" spans="8:54"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3">
        <v>1</v>
      </c>
      <c r="X25" s="143">
        <v>1</v>
      </c>
      <c r="Y25" s="142">
        <v>0</v>
      </c>
      <c r="Z25" s="143">
        <v>1</v>
      </c>
      <c r="AA25" s="143">
        <v>1</v>
      </c>
      <c r="AB25" s="142">
        <v>0</v>
      </c>
      <c r="AC25" s="142">
        <v>0</v>
      </c>
      <c r="AD25" s="144">
        <v>2</v>
      </c>
      <c r="AE25" s="142">
        <v>0</v>
      </c>
      <c r="AF25" s="142">
        <v>0</v>
      </c>
      <c r="AG25" s="142">
        <v>0</v>
      </c>
      <c r="AH25" s="142">
        <v>0</v>
      </c>
      <c r="AI25" s="146">
        <v>4</v>
      </c>
      <c r="AJ25" s="142">
        <v>0</v>
      </c>
      <c r="AK25" s="146">
        <v>4</v>
      </c>
      <c r="AL25" s="143">
        <v>1</v>
      </c>
      <c r="AM25" s="143">
        <v>1</v>
      </c>
      <c r="AN25" s="142">
        <v>0</v>
      </c>
      <c r="AO25" s="142">
        <v>0</v>
      </c>
      <c r="AP25" s="145">
        <v>3</v>
      </c>
      <c r="AQ25" s="142">
        <v>0</v>
      </c>
      <c r="AR25" s="142">
        <v>0</v>
      </c>
      <c r="AS25" s="142">
        <v>0</v>
      </c>
      <c r="AT25" s="145">
        <v>3</v>
      </c>
      <c r="AU25" s="142">
        <v>0</v>
      </c>
      <c r="AV25" s="142">
        <v>0</v>
      </c>
      <c r="AW25" s="142">
        <v>0</v>
      </c>
      <c r="AX25" s="142">
        <v>0</v>
      </c>
      <c r="AY25" s="143">
        <v>1</v>
      </c>
      <c r="AZ25" s="142">
        <v>0</v>
      </c>
      <c r="BA25" s="142">
        <v>0</v>
      </c>
      <c r="BB25" s="142">
        <v>0</v>
      </c>
    </row>
    <row r="26" spans="8:54"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2">
        <v>0</v>
      </c>
      <c r="AA26" s="142">
        <v>0</v>
      </c>
      <c r="AB26" s="142">
        <v>0</v>
      </c>
      <c r="AC26" s="142">
        <v>0</v>
      </c>
      <c r="AD26" s="144">
        <v>2</v>
      </c>
      <c r="AE26" s="142">
        <v>0</v>
      </c>
      <c r="AF26" s="142">
        <v>0</v>
      </c>
      <c r="AG26" s="142">
        <v>0</v>
      </c>
      <c r="AH26" s="142">
        <v>0</v>
      </c>
      <c r="AI26" s="145">
        <v>3</v>
      </c>
      <c r="AJ26" s="142">
        <v>0</v>
      </c>
      <c r="AK26" s="146">
        <v>4</v>
      </c>
      <c r="AL26" s="143">
        <v>1</v>
      </c>
      <c r="AM26" s="143">
        <v>1</v>
      </c>
      <c r="AN26" s="142">
        <v>0</v>
      </c>
      <c r="AO26" s="142">
        <v>0</v>
      </c>
      <c r="AP26" s="145">
        <v>3</v>
      </c>
      <c r="AQ26" s="142">
        <v>0</v>
      </c>
      <c r="AR26" s="142">
        <v>0</v>
      </c>
      <c r="AS26" s="142">
        <v>0</v>
      </c>
      <c r="AT26" s="145">
        <v>3</v>
      </c>
      <c r="AU26" s="142">
        <v>0</v>
      </c>
      <c r="AV26" s="142">
        <v>0</v>
      </c>
      <c r="AW26" s="142">
        <v>0</v>
      </c>
      <c r="AX26" s="142">
        <v>0</v>
      </c>
      <c r="AY26" s="143">
        <v>1</v>
      </c>
      <c r="AZ26" s="142">
        <v>0</v>
      </c>
      <c r="BA26" s="142">
        <v>0</v>
      </c>
      <c r="BB26" s="142">
        <v>0</v>
      </c>
    </row>
    <row r="27" spans="8:54"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3">
        <v>1</v>
      </c>
      <c r="X27" s="142">
        <v>0</v>
      </c>
      <c r="Y27" s="142">
        <v>0</v>
      </c>
      <c r="Z27" s="142">
        <v>0</v>
      </c>
      <c r="AA27" s="143">
        <v>1</v>
      </c>
      <c r="AB27" s="142">
        <v>0</v>
      </c>
      <c r="AC27" s="142">
        <v>0</v>
      </c>
      <c r="AD27" s="144">
        <v>2</v>
      </c>
      <c r="AE27" s="142">
        <v>0</v>
      </c>
      <c r="AF27" s="142">
        <v>0</v>
      </c>
      <c r="AG27" s="142">
        <v>0</v>
      </c>
      <c r="AH27" s="142">
        <v>0</v>
      </c>
      <c r="AI27" s="143">
        <v>1</v>
      </c>
      <c r="AJ27" s="142">
        <v>0</v>
      </c>
      <c r="AK27" s="146">
        <v>4</v>
      </c>
      <c r="AL27" s="145">
        <v>3</v>
      </c>
      <c r="AM27" s="143">
        <v>1</v>
      </c>
      <c r="AN27" s="142">
        <v>0</v>
      </c>
      <c r="AO27" s="142">
        <v>0</v>
      </c>
      <c r="AP27" s="145">
        <v>3</v>
      </c>
      <c r="AQ27" s="142">
        <v>0</v>
      </c>
      <c r="AR27" s="143">
        <v>1</v>
      </c>
      <c r="AS27" s="143">
        <v>1</v>
      </c>
      <c r="AT27" s="142">
        <v>0</v>
      </c>
      <c r="AU27" s="142">
        <v>0</v>
      </c>
      <c r="AV27" s="142">
        <v>0</v>
      </c>
      <c r="AW27" s="142">
        <v>0</v>
      </c>
      <c r="AX27" s="142">
        <v>0</v>
      </c>
      <c r="AY27" s="143">
        <v>1</v>
      </c>
      <c r="AZ27" s="142">
        <v>0</v>
      </c>
      <c r="BA27" s="142">
        <v>0</v>
      </c>
      <c r="BB27" s="142">
        <v>0</v>
      </c>
    </row>
    <row r="28" spans="8:54"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3">
        <v>1</v>
      </c>
      <c r="X28" s="142">
        <v>0</v>
      </c>
      <c r="Y28" s="142">
        <v>0</v>
      </c>
      <c r="Z28" s="142">
        <v>0</v>
      </c>
      <c r="AA28" s="143">
        <v>1</v>
      </c>
      <c r="AB28" s="142">
        <v>0</v>
      </c>
      <c r="AC28" s="142">
        <v>0</v>
      </c>
      <c r="AD28" s="144">
        <v>2</v>
      </c>
      <c r="AE28" s="142">
        <v>0</v>
      </c>
      <c r="AF28" s="142">
        <v>0</v>
      </c>
      <c r="AG28" s="142">
        <v>0</v>
      </c>
      <c r="AH28" s="142">
        <v>0</v>
      </c>
      <c r="AI28" s="143">
        <v>1</v>
      </c>
      <c r="AJ28" s="142">
        <v>0</v>
      </c>
      <c r="AK28" s="146">
        <v>4</v>
      </c>
      <c r="AL28" s="145">
        <v>3</v>
      </c>
      <c r="AM28" s="143">
        <v>1</v>
      </c>
      <c r="AN28" s="142">
        <v>0</v>
      </c>
      <c r="AO28" s="142">
        <v>0</v>
      </c>
      <c r="AP28" s="145">
        <v>3</v>
      </c>
      <c r="AQ28" s="142">
        <v>0</v>
      </c>
      <c r="AR28" s="143">
        <v>1</v>
      </c>
      <c r="AS28" s="143">
        <v>1</v>
      </c>
      <c r="AT28" s="142">
        <v>0</v>
      </c>
      <c r="AU28" s="142">
        <v>0</v>
      </c>
      <c r="AV28" s="142">
        <v>0</v>
      </c>
      <c r="AW28" s="142">
        <v>0</v>
      </c>
      <c r="AX28" s="142">
        <v>0</v>
      </c>
      <c r="AY28" s="143">
        <v>1</v>
      </c>
      <c r="AZ28" s="142">
        <v>0</v>
      </c>
      <c r="BA28" s="142">
        <v>0</v>
      </c>
      <c r="BB28" s="142">
        <v>0</v>
      </c>
    </row>
    <row r="29" spans="8:54"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3">
        <v>1</v>
      </c>
      <c r="Z29" s="142">
        <v>0</v>
      </c>
      <c r="AA29" s="142">
        <v>0</v>
      </c>
      <c r="AB29" s="142">
        <v>0</v>
      </c>
      <c r="AC29" s="142">
        <v>0</v>
      </c>
      <c r="AD29" s="144">
        <v>2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  <c r="AK29" s="146">
        <v>4</v>
      </c>
      <c r="AL29" s="145">
        <v>3</v>
      </c>
      <c r="AM29" s="143">
        <v>1</v>
      </c>
      <c r="AN29" s="142">
        <v>0</v>
      </c>
      <c r="AO29" s="142">
        <v>0</v>
      </c>
      <c r="AP29" s="145">
        <v>3</v>
      </c>
      <c r="AQ29" s="142">
        <v>0</v>
      </c>
      <c r="AR29" s="143">
        <v>1</v>
      </c>
      <c r="AS29" s="143">
        <v>1</v>
      </c>
      <c r="AT29" s="142">
        <v>0</v>
      </c>
      <c r="AU29" s="142">
        <v>0</v>
      </c>
      <c r="AV29" s="142">
        <v>0</v>
      </c>
      <c r="AW29" s="142">
        <v>0</v>
      </c>
      <c r="AX29" s="142">
        <v>0</v>
      </c>
      <c r="AY29" s="142">
        <v>0</v>
      </c>
      <c r="AZ29" s="142">
        <v>0</v>
      </c>
      <c r="BA29" s="142">
        <v>0</v>
      </c>
      <c r="BB29" s="142">
        <v>0</v>
      </c>
    </row>
    <row r="30" spans="8:54"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2">
        <v>0</v>
      </c>
      <c r="AA30" s="142">
        <v>0</v>
      </c>
      <c r="AB30" s="142">
        <v>0</v>
      </c>
      <c r="AC30" s="142">
        <v>0</v>
      </c>
      <c r="AD30" s="143">
        <v>1</v>
      </c>
      <c r="AE30" s="142">
        <v>0</v>
      </c>
      <c r="AF30" s="142">
        <v>0</v>
      </c>
      <c r="AG30" s="142">
        <v>0</v>
      </c>
      <c r="AH30" s="143">
        <v>1</v>
      </c>
      <c r="AI30" s="142">
        <v>0</v>
      </c>
      <c r="AJ30" s="142">
        <v>0</v>
      </c>
      <c r="AK30" s="145">
        <v>3</v>
      </c>
      <c r="AL30" s="145">
        <v>3</v>
      </c>
      <c r="AM30" s="142">
        <v>0</v>
      </c>
      <c r="AN30" s="142">
        <v>0</v>
      </c>
      <c r="AO30" s="142">
        <v>0</v>
      </c>
      <c r="AP30" s="145">
        <v>3</v>
      </c>
      <c r="AQ30" s="142">
        <v>0</v>
      </c>
      <c r="AR30" s="143">
        <v>1</v>
      </c>
      <c r="AS30" s="142">
        <v>0</v>
      </c>
      <c r="AT30" s="142">
        <v>0</v>
      </c>
      <c r="AU30" s="142">
        <v>0</v>
      </c>
      <c r="AV30" s="142">
        <v>0</v>
      </c>
      <c r="AW30" s="142">
        <v>0</v>
      </c>
      <c r="AX30" s="142">
        <v>0</v>
      </c>
      <c r="AY30" s="142">
        <v>0</v>
      </c>
      <c r="AZ30" s="142">
        <v>0</v>
      </c>
      <c r="BA30" s="142">
        <v>0</v>
      </c>
      <c r="BB30" s="142">
        <v>0</v>
      </c>
    </row>
    <row r="31" spans="8:54"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3">
        <v>1</v>
      </c>
      <c r="Z31" s="143">
        <v>1</v>
      </c>
      <c r="AA31" s="142">
        <v>0</v>
      </c>
      <c r="AB31" s="142">
        <v>0</v>
      </c>
      <c r="AC31" s="142">
        <v>0</v>
      </c>
      <c r="AD31" s="143">
        <v>1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  <c r="AK31" s="145">
        <v>3</v>
      </c>
      <c r="AL31" s="146">
        <v>4</v>
      </c>
      <c r="AM31" s="143">
        <v>1</v>
      </c>
      <c r="AN31" s="142">
        <v>0</v>
      </c>
      <c r="AO31" s="142">
        <v>0</v>
      </c>
      <c r="AP31" s="146">
        <v>4</v>
      </c>
      <c r="AQ31" s="142">
        <v>0</v>
      </c>
      <c r="AR31" s="144">
        <v>2</v>
      </c>
      <c r="AS31" s="143">
        <v>1</v>
      </c>
      <c r="AT31" s="142">
        <v>0</v>
      </c>
      <c r="AU31" s="142">
        <v>0</v>
      </c>
      <c r="AV31" s="142">
        <v>0</v>
      </c>
      <c r="AW31" s="143">
        <v>1</v>
      </c>
      <c r="AX31" s="142">
        <v>0</v>
      </c>
      <c r="AY31" s="143">
        <v>1</v>
      </c>
      <c r="AZ31" s="142">
        <v>0</v>
      </c>
      <c r="BA31" s="142">
        <v>0</v>
      </c>
      <c r="BB31" s="142">
        <v>0</v>
      </c>
    </row>
    <row r="32" spans="8:54"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2">
        <v>0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2">
        <v>0</v>
      </c>
      <c r="AA32" s="142">
        <v>0</v>
      </c>
      <c r="AB32" s="142">
        <v>0</v>
      </c>
      <c r="AC32" s="142">
        <v>0</v>
      </c>
      <c r="AD32" s="144">
        <v>2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3">
        <v>1</v>
      </c>
      <c r="AL32" s="143">
        <v>1</v>
      </c>
      <c r="AM32" s="143">
        <v>1</v>
      </c>
      <c r="AN32" s="142">
        <v>0</v>
      </c>
      <c r="AO32" s="142">
        <v>0</v>
      </c>
      <c r="AP32" s="142">
        <v>0</v>
      </c>
      <c r="AQ32" s="142">
        <v>0</v>
      </c>
      <c r="AR32" s="144">
        <v>2</v>
      </c>
      <c r="AS32" s="142">
        <v>0</v>
      </c>
      <c r="AT32" s="142">
        <v>0</v>
      </c>
      <c r="AU32" s="142">
        <v>0</v>
      </c>
      <c r="AV32" s="142">
        <v>0</v>
      </c>
      <c r="AW32" s="142">
        <v>0</v>
      </c>
      <c r="AX32" s="142">
        <v>0</v>
      </c>
      <c r="AY32" s="142">
        <v>0</v>
      </c>
      <c r="AZ32" s="142">
        <v>0</v>
      </c>
      <c r="BA32" s="142">
        <v>0</v>
      </c>
      <c r="BB32" s="142">
        <v>0</v>
      </c>
    </row>
    <row r="33" spans="8:54"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2">
        <v>0</v>
      </c>
      <c r="AA33" s="142">
        <v>0</v>
      </c>
      <c r="AB33" s="142">
        <v>0</v>
      </c>
      <c r="AC33" s="142">
        <v>0</v>
      </c>
      <c r="AD33" s="144">
        <v>2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2">
        <v>0</v>
      </c>
      <c r="AN33" s="142">
        <v>0</v>
      </c>
      <c r="AO33" s="142">
        <v>0</v>
      </c>
      <c r="AP33" s="142">
        <v>0</v>
      </c>
      <c r="AQ33" s="142">
        <v>0</v>
      </c>
      <c r="AR33" s="143">
        <v>1</v>
      </c>
      <c r="AS33" s="142">
        <v>0</v>
      </c>
      <c r="AT33" s="143">
        <v>1</v>
      </c>
      <c r="AU33" s="142">
        <v>0</v>
      </c>
      <c r="AV33" s="142">
        <v>0</v>
      </c>
      <c r="AW33" s="142">
        <v>0</v>
      </c>
      <c r="AX33" s="142">
        <v>0</v>
      </c>
      <c r="AY33" s="142">
        <v>0</v>
      </c>
      <c r="AZ33" s="142">
        <v>0</v>
      </c>
      <c r="BA33" s="142">
        <v>0</v>
      </c>
      <c r="BB33" s="142">
        <v>0</v>
      </c>
    </row>
    <row r="34" spans="8:54"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2">
        <v>0</v>
      </c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3">
        <v>1</v>
      </c>
      <c r="V34" s="143">
        <v>1</v>
      </c>
      <c r="W34" s="142">
        <v>0</v>
      </c>
      <c r="X34" s="142">
        <v>0</v>
      </c>
      <c r="Y34" s="142">
        <v>0</v>
      </c>
      <c r="Z34" s="142">
        <v>0</v>
      </c>
      <c r="AA34" s="142">
        <v>0</v>
      </c>
      <c r="AB34" s="142">
        <v>0</v>
      </c>
      <c r="AC34" s="142">
        <v>0</v>
      </c>
      <c r="AD34" s="144">
        <v>2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4">
        <v>2</v>
      </c>
      <c r="AL34" s="142">
        <v>0</v>
      </c>
      <c r="AM34" s="142">
        <v>0</v>
      </c>
      <c r="AN34" s="142">
        <v>0</v>
      </c>
      <c r="AO34" s="142">
        <v>0</v>
      </c>
      <c r="AP34" s="142">
        <v>0</v>
      </c>
      <c r="AQ34" s="142">
        <v>0</v>
      </c>
      <c r="AR34" s="143">
        <v>1</v>
      </c>
      <c r="AS34" s="142">
        <v>0</v>
      </c>
      <c r="AT34" s="142">
        <v>0</v>
      </c>
      <c r="AU34" s="142">
        <v>0</v>
      </c>
      <c r="AV34" s="142">
        <v>0</v>
      </c>
      <c r="AW34" s="142">
        <v>0</v>
      </c>
      <c r="AX34" s="142">
        <v>0</v>
      </c>
      <c r="AY34" s="142">
        <v>0</v>
      </c>
      <c r="AZ34" s="142">
        <v>0</v>
      </c>
      <c r="BA34" s="142">
        <v>0</v>
      </c>
      <c r="BB34" s="142">
        <v>0</v>
      </c>
    </row>
    <row r="35" spans="8:54"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2">
        <v>0</v>
      </c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3">
        <v>1</v>
      </c>
      <c r="V35" s="143">
        <v>1</v>
      </c>
      <c r="W35" s="142">
        <v>0</v>
      </c>
      <c r="X35" s="142">
        <v>0</v>
      </c>
      <c r="Y35" s="142">
        <v>0</v>
      </c>
      <c r="Z35" s="142">
        <v>0</v>
      </c>
      <c r="AA35" s="142">
        <v>0</v>
      </c>
      <c r="AB35" s="142">
        <v>0</v>
      </c>
      <c r="AC35" s="142">
        <v>0</v>
      </c>
      <c r="AD35" s="144">
        <v>2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  <c r="AK35" s="144">
        <v>2</v>
      </c>
      <c r="AL35" s="142">
        <v>0</v>
      </c>
      <c r="AM35" s="143">
        <v>1</v>
      </c>
      <c r="AN35" s="142">
        <v>0</v>
      </c>
      <c r="AO35" s="142">
        <v>0</v>
      </c>
      <c r="AP35" s="142">
        <v>0</v>
      </c>
      <c r="AQ35" s="142">
        <v>0</v>
      </c>
      <c r="AR35" s="143">
        <v>1</v>
      </c>
      <c r="AS35" s="142">
        <v>0</v>
      </c>
      <c r="AT35" s="142">
        <v>0</v>
      </c>
      <c r="AU35" s="142">
        <v>0</v>
      </c>
      <c r="AV35" s="142">
        <v>0</v>
      </c>
      <c r="AW35" s="142">
        <v>0</v>
      </c>
      <c r="AX35" s="142">
        <v>0</v>
      </c>
      <c r="AY35" s="142">
        <v>0</v>
      </c>
      <c r="AZ35" s="142">
        <v>0</v>
      </c>
      <c r="BA35" s="142">
        <v>0</v>
      </c>
      <c r="BB35" s="142">
        <v>0</v>
      </c>
    </row>
    <row r="36" spans="8:54">
      <c r="H36" s="142">
        <v>0</v>
      </c>
      <c r="I36" s="142">
        <v>0</v>
      </c>
      <c r="J36" s="142">
        <v>0</v>
      </c>
      <c r="K36" s="142">
        <v>0</v>
      </c>
      <c r="L36" s="142">
        <v>0</v>
      </c>
      <c r="M36" s="142">
        <v>0</v>
      </c>
      <c r="N36" s="142">
        <v>0</v>
      </c>
      <c r="O36" s="142">
        <v>0</v>
      </c>
      <c r="P36" s="142">
        <v>0</v>
      </c>
      <c r="Q36" s="142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0</v>
      </c>
      <c r="Y36" s="142">
        <v>0</v>
      </c>
      <c r="Z36" s="142">
        <v>0</v>
      </c>
      <c r="AA36" s="143">
        <v>1</v>
      </c>
      <c r="AB36" s="143">
        <v>1</v>
      </c>
      <c r="AC36" s="143">
        <v>1</v>
      </c>
      <c r="AD36" s="143">
        <v>1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2">
        <v>0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0</v>
      </c>
      <c r="AY36" s="142">
        <v>0</v>
      </c>
      <c r="AZ36" s="142">
        <v>0</v>
      </c>
      <c r="BA36" s="142">
        <v>0</v>
      </c>
      <c r="BB36" s="142">
        <v>0</v>
      </c>
    </row>
    <row r="37" spans="8:54"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2">
        <v>0</v>
      </c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2">
        <v>0</v>
      </c>
      <c r="AA37" s="142">
        <v>0</v>
      </c>
      <c r="AB37" s="143">
        <v>1</v>
      </c>
      <c r="AC37" s="142">
        <v>0</v>
      </c>
      <c r="AD37" s="143">
        <v>1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142">
        <v>0</v>
      </c>
      <c r="AZ37" s="142">
        <v>0</v>
      </c>
      <c r="BA37" s="143">
        <v>1</v>
      </c>
      <c r="BB37" s="142">
        <v>0</v>
      </c>
    </row>
    <row r="38" spans="8:54"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2">
        <v>0</v>
      </c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3">
        <v>1</v>
      </c>
      <c r="V38" s="142">
        <v>0</v>
      </c>
      <c r="W38" s="142">
        <v>0</v>
      </c>
      <c r="X38" s="142">
        <v>0</v>
      </c>
      <c r="Y38" s="142">
        <v>0</v>
      </c>
      <c r="Z38" s="143">
        <v>1</v>
      </c>
      <c r="AA38" s="142">
        <v>0</v>
      </c>
      <c r="AB38" s="142">
        <v>0</v>
      </c>
      <c r="AC38" s="143">
        <v>1</v>
      </c>
      <c r="AD38" s="143">
        <v>1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  <c r="AK38" s="145">
        <v>3</v>
      </c>
      <c r="AL38" s="142">
        <v>0</v>
      </c>
      <c r="AM38" s="142">
        <v>0</v>
      </c>
      <c r="AN38" s="142">
        <v>0</v>
      </c>
      <c r="AO38" s="142">
        <v>0</v>
      </c>
      <c r="AP38" s="142">
        <v>0</v>
      </c>
      <c r="AQ38" s="142">
        <v>0</v>
      </c>
      <c r="AR38" s="143">
        <v>1</v>
      </c>
      <c r="AS38" s="142">
        <v>0</v>
      </c>
      <c r="AT38" s="142">
        <v>0</v>
      </c>
      <c r="AU38" s="142">
        <v>0</v>
      </c>
      <c r="AV38" s="142">
        <v>0</v>
      </c>
      <c r="AW38" s="142">
        <v>0</v>
      </c>
      <c r="AX38" s="143">
        <v>1</v>
      </c>
      <c r="AY38" s="142">
        <v>0</v>
      </c>
      <c r="AZ38" s="142">
        <v>0</v>
      </c>
      <c r="BA38" s="142">
        <v>0</v>
      </c>
      <c r="BB38" s="142">
        <v>0</v>
      </c>
    </row>
    <row r="39" spans="8:54"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2">
        <v>0</v>
      </c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3">
        <v>1</v>
      </c>
      <c r="V39" s="142">
        <v>0</v>
      </c>
      <c r="W39" s="142">
        <v>0</v>
      </c>
      <c r="X39" s="142">
        <v>0</v>
      </c>
      <c r="Y39" s="142">
        <v>0</v>
      </c>
      <c r="Z39" s="142">
        <v>0</v>
      </c>
      <c r="AA39" s="142">
        <v>0</v>
      </c>
      <c r="AB39" s="142">
        <v>0</v>
      </c>
      <c r="AC39" s="142">
        <v>0</v>
      </c>
      <c r="AD39" s="143">
        <v>1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  <c r="AK39" s="145">
        <v>3</v>
      </c>
      <c r="AL39" s="142">
        <v>0</v>
      </c>
      <c r="AM39" s="142">
        <v>0</v>
      </c>
      <c r="AN39" s="142">
        <v>0</v>
      </c>
      <c r="AO39" s="142">
        <v>0</v>
      </c>
      <c r="AP39" s="142">
        <v>0</v>
      </c>
      <c r="AQ39" s="142">
        <v>0</v>
      </c>
      <c r="AR39" s="143">
        <v>1</v>
      </c>
      <c r="AS39" s="142">
        <v>0</v>
      </c>
      <c r="AT39" s="142">
        <v>0</v>
      </c>
      <c r="AU39" s="142">
        <v>0</v>
      </c>
      <c r="AV39" s="142">
        <v>0</v>
      </c>
      <c r="AW39" s="142">
        <v>0</v>
      </c>
      <c r="AX39" s="143">
        <v>1</v>
      </c>
      <c r="AY39" s="142">
        <v>0</v>
      </c>
      <c r="AZ39" s="142">
        <v>0</v>
      </c>
      <c r="BA39" s="142">
        <v>0</v>
      </c>
      <c r="BB39" s="142">
        <v>0</v>
      </c>
    </row>
    <row r="40" spans="8:54"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3">
        <v>1</v>
      </c>
      <c r="V40" s="142">
        <v>0</v>
      </c>
      <c r="W40" s="142">
        <v>0</v>
      </c>
      <c r="X40" s="142">
        <v>0</v>
      </c>
      <c r="Y40" s="142">
        <v>0</v>
      </c>
      <c r="Z40" s="142">
        <v>0</v>
      </c>
      <c r="AA40" s="142">
        <v>0</v>
      </c>
      <c r="AB40" s="142">
        <v>0</v>
      </c>
      <c r="AC40" s="142">
        <v>0</v>
      </c>
      <c r="AD40" s="143">
        <v>1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  <c r="AK40" s="145">
        <v>3</v>
      </c>
      <c r="AL40" s="142">
        <v>0</v>
      </c>
      <c r="AM40" s="142">
        <v>0</v>
      </c>
      <c r="AN40" s="142">
        <v>0</v>
      </c>
      <c r="AO40" s="142">
        <v>0</v>
      </c>
      <c r="AP40" s="142">
        <v>0</v>
      </c>
      <c r="AQ40" s="142">
        <v>0</v>
      </c>
      <c r="AR40" s="143">
        <v>1</v>
      </c>
      <c r="AS40" s="143">
        <v>1</v>
      </c>
      <c r="AT40" s="142">
        <v>0</v>
      </c>
      <c r="AU40" s="142">
        <v>0</v>
      </c>
      <c r="AV40" s="142">
        <v>0</v>
      </c>
      <c r="AW40" s="142">
        <v>0</v>
      </c>
      <c r="AX40" s="143">
        <v>1</v>
      </c>
      <c r="AY40" s="142">
        <v>0</v>
      </c>
      <c r="AZ40" s="142">
        <v>0</v>
      </c>
      <c r="BA40" s="142">
        <v>0</v>
      </c>
      <c r="BB40" s="142">
        <v>0</v>
      </c>
    </row>
    <row r="41" spans="8:54"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>
        <v>1</v>
      </c>
      <c r="P41" s="143">
        <v>1</v>
      </c>
      <c r="Q41" s="143">
        <v>1</v>
      </c>
      <c r="R41" s="143">
        <v>1</v>
      </c>
      <c r="S41" s="143">
        <v>1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2">
        <v>0</v>
      </c>
      <c r="AA41" s="143">
        <v>1</v>
      </c>
      <c r="AB41" s="143">
        <v>1</v>
      </c>
      <c r="AC41" s="143">
        <v>1</v>
      </c>
      <c r="AD41" s="144">
        <v>2</v>
      </c>
      <c r="AE41" s="143">
        <v>1</v>
      </c>
      <c r="AF41" s="143">
        <v>1</v>
      </c>
      <c r="AG41" s="143">
        <v>1</v>
      </c>
      <c r="AH41" s="143">
        <v>1</v>
      </c>
      <c r="AI41" s="143">
        <v>1</v>
      </c>
      <c r="AJ41" s="143">
        <v>1</v>
      </c>
      <c r="AK41" s="146">
        <v>4</v>
      </c>
      <c r="AL41" s="143">
        <v>1</v>
      </c>
      <c r="AM41" s="143">
        <v>1</v>
      </c>
      <c r="AN41" s="142">
        <v>0</v>
      </c>
      <c r="AO41" s="142">
        <v>0</v>
      </c>
      <c r="AP41" s="146">
        <v>4</v>
      </c>
      <c r="AQ41" s="143">
        <v>1</v>
      </c>
      <c r="AR41" s="145">
        <v>3</v>
      </c>
      <c r="AS41" s="143">
        <v>1</v>
      </c>
      <c r="AT41" s="143">
        <v>1</v>
      </c>
      <c r="AU41" s="142">
        <v>0</v>
      </c>
      <c r="AV41" s="143">
        <v>1</v>
      </c>
      <c r="AW41" s="142">
        <v>0</v>
      </c>
      <c r="AX41" s="143">
        <v>1</v>
      </c>
      <c r="AY41" s="143">
        <v>1</v>
      </c>
      <c r="AZ41" s="143">
        <v>1</v>
      </c>
      <c r="BA41" s="143">
        <v>1</v>
      </c>
      <c r="BB41" s="142">
        <v>0</v>
      </c>
    </row>
    <row r="42" spans="8:54"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>
        <v>1</v>
      </c>
      <c r="P42" s="143">
        <v>1</v>
      </c>
      <c r="Q42" s="143">
        <v>1</v>
      </c>
      <c r="R42" s="143">
        <v>1</v>
      </c>
      <c r="S42" s="143">
        <v>1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2">
        <v>0</v>
      </c>
      <c r="AA42" s="143">
        <v>1</v>
      </c>
      <c r="AB42" s="143">
        <v>1</v>
      </c>
      <c r="AC42" s="143">
        <v>1</v>
      </c>
      <c r="AD42" s="144">
        <v>2</v>
      </c>
      <c r="AE42" s="143">
        <v>1</v>
      </c>
      <c r="AF42" s="143">
        <v>1</v>
      </c>
      <c r="AG42" s="143">
        <v>1</v>
      </c>
      <c r="AH42" s="143">
        <v>1</v>
      </c>
      <c r="AI42" s="143">
        <v>1</v>
      </c>
      <c r="AJ42" s="143">
        <v>1</v>
      </c>
      <c r="AK42" s="146">
        <v>4</v>
      </c>
      <c r="AL42" s="143">
        <v>1</v>
      </c>
      <c r="AM42" s="143">
        <v>1</v>
      </c>
      <c r="AN42" s="142">
        <v>0</v>
      </c>
      <c r="AO42" s="142">
        <v>0</v>
      </c>
      <c r="AP42" s="145">
        <v>3</v>
      </c>
      <c r="AQ42" s="143">
        <v>1</v>
      </c>
      <c r="AR42" s="146">
        <v>4</v>
      </c>
      <c r="AS42" s="143">
        <v>1</v>
      </c>
      <c r="AT42" s="143">
        <v>1</v>
      </c>
      <c r="AU42" s="142">
        <v>0</v>
      </c>
      <c r="AV42" s="143">
        <v>1</v>
      </c>
      <c r="AW42" s="142">
        <v>0</v>
      </c>
      <c r="AX42" s="143">
        <v>1</v>
      </c>
      <c r="AY42" s="143">
        <v>1</v>
      </c>
      <c r="AZ42" s="143">
        <v>1</v>
      </c>
      <c r="BA42" s="143">
        <v>1</v>
      </c>
      <c r="BB42" s="142">
        <v>0</v>
      </c>
    </row>
    <row r="43" spans="8:54"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2">
        <v>0</v>
      </c>
      <c r="AA43" s="142">
        <v>0</v>
      </c>
      <c r="AB43" s="142">
        <v>0</v>
      </c>
      <c r="AC43" s="142">
        <v>0</v>
      </c>
      <c r="AD43" s="143">
        <v>1</v>
      </c>
      <c r="AE43" s="142">
        <v>0</v>
      </c>
      <c r="AF43" s="142">
        <v>0</v>
      </c>
      <c r="AG43" s="142">
        <v>0</v>
      </c>
      <c r="AH43" s="143">
        <v>1</v>
      </c>
      <c r="AI43" s="143">
        <v>1</v>
      </c>
      <c r="AJ43" s="142">
        <v>0</v>
      </c>
      <c r="AK43" s="145">
        <v>3</v>
      </c>
      <c r="AL43" s="142">
        <v>0</v>
      </c>
      <c r="AM43" s="142">
        <v>0</v>
      </c>
      <c r="AN43" s="142">
        <v>0</v>
      </c>
      <c r="AO43" s="142">
        <v>0</v>
      </c>
      <c r="AP43" s="145">
        <v>3</v>
      </c>
      <c r="AQ43" s="142">
        <v>0</v>
      </c>
      <c r="AR43" s="145">
        <v>3</v>
      </c>
      <c r="AS43" s="142">
        <v>0</v>
      </c>
      <c r="AT43" s="142">
        <v>0</v>
      </c>
      <c r="AU43" s="142">
        <v>0</v>
      </c>
      <c r="AV43" s="142">
        <v>0</v>
      </c>
      <c r="AW43" s="142">
        <v>0</v>
      </c>
      <c r="AX43" s="142">
        <v>0</v>
      </c>
      <c r="AY43" s="142">
        <v>0</v>
      </c>
      <c r="AZ43" s="143">
        <v>1</v>
      </c>
      <c r="BA43" s="142">
        <v>0</v>
      </c>
      <c r="BB43" s="142">
        <v>0</v>
      </c>
    </row>
    <row r="44" spans="8:54"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2">
        <v>0</v>
      </c>
      <c r="AA44" s="142">
        <v>0</v>
      </c>
      <c r="AB44" s="142">
        <v>0</v>
      </c>
      <c r="AC44" s="142">
        <v>0</v>
      </c>
      <c r="AD44" s="143">
        <v>1</v>
      </c>
      <c r="AE44" s="142">
        <v>0</v>
      </c>
      <c r="AF44" s="142">
        <v>0</v>
      </c>
      <c r="AG44" s="142">
        <v>0</v>
      </c>
      <c r="AH44" s="143">
        <v>1</v>
      </c>
      <c r="AI44" s="143">
        <v>1</v>
      </c>
      <c r="AJ44" s="142">
        <v>0</v>
      </c>
      <c r="AK44" s="145">
        <v>3</v>
      </c>
      <c r="AL44" s="142">
        <v>0</v>
      </c>
      <c r="AM44" s="142">
        <v>0</v>
      </c>
      <c r="AN44" s="142">
        <v>0</v>
      </c>
      <c r="AO44" s="142">
        <v>0</v>
      </c>
      <c r="AP44" s="145">
        <v>3</v>
      </c>
      <c r="AQ44" s="142">
        <v>0</v>
      </c>
      <c r="AR44" s="145">
        <v>3</v>
      </c>
      <c r="AS44" s="142">
        <v>0</v>
      </c>
      <c r="AT44" s="142">
        <v>0</v>
      </c>
      <c r="AU44" s="142">
        <v>0</v>
      </c>
      <c r="AV44" s="142">
        <v>0</v>
      </c>
      <c r="AW44" s="142">
        <v>0</v>
      </c>
      <c r="AX44" s="142">
        <v>0</v>
      </c>
      <c r="AY44" s="142">
        <v>0</v>
      </c>
      <c r="AZ44" s="143">
        <v>1</v>
      </c>
      <c r="BA44" s="142">
        <v>0</v>
      </c>
      <c r="BB44" s="142">
        <v>0</v>
      </c>
    </row>
    <row r="45" spans="8:54"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>
        <v>1</v>
      </c>
      <c r="P45" s="143">
        <v>1</v>
      </c>
      <c r="Q45" s="143">
        <v>1</v>
      </c>
      <c r="R45" s="143">
        <v>1</v>
      </c>
      <c r="S45" s="143">
        <v>1</v>
      </c>
      <c r="T45" s="142">
        <v>0</v>
      </c>
      <c r="U45" s="142">
        <v>0</v>
      </c>
      <c r="V45" s="142">
        <v>0</v>
      </c>
      <c r="W45" s="143">
        <v>1</v>
      </c>
      <c r="X45" s="142">
        <v>0</v>
      </c>
      <c r="Y45" s="142">
        <v>0</v>
      </c>
      <c r="Z45" s="142">
        <v>0</v>
      </c>
      <c r="AA45" s="142">
        <v>0</v>
      </c>
      <c r="AB45" s="142">
        <v>0</v>
      </c>
      <c r="AC45" s="142">
        <v>0</v>
      </c>
      <c r="AD45" s="143">
        <v>1</v>
      </c>
      <c r="AE45" s="142">
        <v>0</v>
      </c>
      <c r="AF45" s="143">
        <v>1</v>
      </c>
      <c r="AG45" s="143">
        <v>1</v>
      </c>
      <c r="AH45" s="142">
        <v>0</v>
      </c>
      <c r="AI45" s="143">
        <v>1</v>
      </c>
      <c r="AJ45" s="142">
        <v>0</v>
      </c>
      <c r="AK45" s="143">
        <v>1</v>
      </c>
      <c r="AL45" s="142">
        <v>0</v>
      </c>
      <c r="AM45" s="142">
        <v>0</v>
      </c>
      <c r="AN45" s="142">
        <v>0</v>
      </c>
      <c r="AO45" s="142">
        <v>0</v>
      </c>
      <c r="AP45" s="145">
        <v>3</v>
      </c>
      <c r="AQ45" s="142">
        <v>0</v>
      </c>
      <c r="AR45" s="145">
        <v>3</v>
      </c>
      <c r="AS45" s="142">
        <v>0</v>
      </c>
      <c r="AT45" s="142">
        <v>0</v>
      </c>
      <c r="AU45" s="142">
        <v>0</v>
      </c>
      <c r="AV45" s="142">
        <v>0</v>
      </c>
      <c r="AW45" s="142">
        <v>0</v>
      </c>
      <c r="AX45" s="142">
        <v>0</v>
      </c>
      <c r="AY45" s="142">
        <v>0</v>
      </c>
      <c r="AZ45" s="142">
        <v>0</v>
      </c>
      <c r="BA45" s="142">
        <v>0</v>
      </c>
      <c r="BB45" s="142">
        <v>0</v>
      </c>
    </row>
    <row r="46" spans="8:54"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3">
        <v>1</v>
      </c>
      <c r="Q46" s="142">
        <v>0</v>
      </c>
      <c r="R46" s="143">
        <v>1</v>
      </c>
      <c r="S46" s="143">
        <v>1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2">
        <v>0</v>
      </c>
      <c r="AA46" s="143">
        <v>1</v>
      </c>
      <c r="AB46" s="143">
        <v>1</v>
      </c>
      <c r="AC46" s="143">
        <v>1</v>
      </c>
      <c r="AD46" s="144">
        <v>2</v>
      </c>
      <c r="AE46" s="142">
        <v>0</v>
      </c>
      <c r="AF46" s="143">
        <v>1</v>
      </c>
      <c r="AG46" s="142">
        <v>0</v>
      </c>
      <c r="AH46" s="143">
        <v>1</v>
      </c>
      <c r="AI46" s="143">
        <v>1</v>
      </c>
      <c r="AJ46" s="142">
        <v>0</v>
      </c>
      <c r="AK46" s="143">
        <v>1</v>
      </c>
      <c r="AL46" s="143">
        <v>1</v>
      </c>
      <c r="AM46" s="143">
        <v>1</v>
      </c>
      <c r="AN46" s="142">
        <v>0</v>
      </c>
      <c r="AO46" s="142">
        <v>0</v>
      </c>
      <c r="AP46" s="145">
        <v>3</v>
      </c>
      <c r="AQ46" s="142">
        <v>0</v>
      </c>
      <c r="AR46" s="146">
        <v>4</v>
      </c>
      <c r="AS46" s="143">
        <v>1</v>
      </c>
      <c r="AT46" s="142">
        <v>0</v>
      </c>
      <c r="AU46" s="143">
        <v>1</v>
      </c>
      <c r="AV46" s="142">
        <v>0</v>
      </c>
      <c r="AW46" s="142">
        <v>0</v>
      </c>
      <c r="AX46" s="143">
        <v>1</v>
      </c>
      <c r="AY46" s="143">
        <v>1</v>
      </c>
      <c r="AZ46" s="142">
        <v>0</v>
      </c>
      <c r="BA46" s="142">
        <v>0</v>
      </c>
      <c r="BB46" s="142">
        <v>0</v>
      </c>
    </row>
    <row r="47" spans="8:54"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2">
        <v>0</v>
      </c>
      <c r="AA47" s="142">
        <v>0</v>
      </c>
      <c r="AB47" s="142">
        <v>0</v>
      </c>
      <c r="AC47" s="142">
        <v>0</v>
      </c>
      <c r="AD47" s="143">
        <v>1</v>
      </c>
      <c r="AE47" s="142">
        <v>0</v>
      </c>
      <c r="AF47" s="142">
        <v>0</v>
      </c>
      <c r="AG47" s="142">
        <v>0</v>
      </c>
      <c r="AH47" s="143">
        <v>1</v>
      </c>
      <c r="AI47" s="143">
        <v>1</v>
      </c>
      <c r="AJ47" s="142">
        <v>0</v>
      </c>
      <c r="AK47" s="142">
        <v>0</v>
      </c>
      <c r="AL47" s="142">
        <v>0</v>
      </c>
      <c r="AM47" s="142">
        <v>0</v>
      </c>
      <c r="AN47" s="142">
        <v>0</v>
      </c>
      <c r="AO47" s="142">
        <v>0</v>
      </c>
      <c r="AP47" s="145">
        <v>3</v>
      </c>
      <c r="AQ47" s="142">
        <v>0</v>
      </c>
      <c r="AR47" s="145">
        <v>3</v>
      </c>
      <c r="AS47" s="142">
        <v>0</v>
      </c>
      <c r="AT47" s="142">
        <v>0</v>
      </c>
      <c r="AU47" s="142">
        <v>0</v>
      </c>
      <c r="AV47" s="142">
        <v>0</v>
      </c>
      <c r="AW47" s="142">
        <v>0</v>
      </c>
      <c r="AX47" s="142">
        <v>0</v>
      </c>
      <c r="AY47" s="142">
        <v>0</v>
      </c>
      <c r="AZ47" s="142">
        <v>0</v>
      </c>
      <c r="BA47" s="142">
        <v>0</v>
      </c>
      <c r="BB47" s="142">
        <v>0</v>
      </c>
    </row>
    <row r="48" spans="8:54"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2">
        <v>0</v>
      </c>
      <c r="AA48" s="142">
        <v>0</v>
      </c>
      <c r="AB48" s="143">
        <v>1</v>
      </c>
      <c r="AC48" s="143">
        <v>1</v>
      </c>
      <c r="AD48" s="144">
        <v>2</v>
      </c>
      <c r="AE48" s="142">
        <v>0</v>
      </c>
      <c r="AF48" s="142">
        <v>0</v>
      </c>
      <c r="AG48" s="142">
        <v>0</v>
      </c>
      <c r="AH48" s="142">
        <v>0</v>
      </c>
      <c r="AI48" s="143">
        <v>1</v>
      </c>
      <c r="AJ48" s="142">
        <v>0</v>
      </c>
      <c r="AK48" s="143">
        <v>1</v>
      </c>
      <c r="AL48" s="142">
        <v>0</v>
      </c>
      <c r="AM48" s="143">
        <v>1</v>
      </c>
      <c r="AN48" s="142">
        <v>0</v>
      </c>
      <c r="AO48" s="142">
        <v>0</v>
      </c>
      <c r="AP48" s="145">
        <v>3</v>
      </c>
      <c r="AQ48" s="142">
        <v>0</v>
      </c>
      <c r="AR48" s="146">
        <v>4</v>
      </c>
      <c r="AS48" s="142">
        <v>0</v>
      </c>
      <c r="AT48" s="142">
        <v>0</v>
      </c>
      <c r="AU48" s="142">
        <v>0</v>
      </c>
      <c r="AV48" s="142">
        <v>0</v>
      </c>
      <c r="AW48" s="142">
        <v>0</v>
      </c>
      <c r="AX48" s="142">
        <v>0</v>
      </c>
      <c r="AY48" s="142">
        <v>0</v>
      </c>
      <c r="AZ48" s="142">
        <v>0</v>
      </c>
      <c r="BA48" s="142">
        <v>0</v>
      </c>
      <c r="BB48" s="142">
        <v>0</v>
      </c>
    </row>
    <row r="49" spans="8:54">
      <c r="H49" s="142">
        <v>0</v>
      </c>
      <c r="I49" s="142">
        <v>0</v>
      </c>
      <c r="J49" s="142">
        <v>0</v>
      </c>
      <c r="K49" s="142">
        <v>0</v>
      </c>
      <c r="L49" s="142">
        <v>0</v>
      </c>
      <c r="M49" s="142">
        <v>0</v>
      </c>
      <c r="N49" s="142">
        <v>0</v>
      </c>
      <c r="O49" s="142">
        <v>0</v>
      </c>
      <c r="P49" s="142">
        <v>0</v>
      </c>
      <c r="Q49" s="142">
        <v>0</v>
      </c>
      <c r="R49" s="142">
        <v>0</v>
      </c>
      <c r="S49" s="142">
        <v>0</v>
      </c>
      <c r="T49" s="142">
        <v>0</v>
      </c>
      <c r="U49" s="142">
        <v>0</v>
      </c>
      <c r="V49" s="142">
        <v>0</v>
      </c>
      <c r="W49" s="142">
        <v>0</v>
      </c>
      <c r="X49" s="142">
        <v>0</v>
      </c>
      <c r="Y49" s="142">
        <v>0</v>
      </c>
      <c r="Z49" s="142">
        <v>0</v>
      </c>
      <c r="AA49" s="143">
        <v>1</v>
      </c>
      <c r="AB49" s="143">
        <v>1</v>
      </c>
      <c r="AC49" s="143">
        <v>1</v>
      </c>
      <c r="AD49" s="144">
        <v>2</v>
      </c>
      <c r="AE49" s="142">
        <v>0</v>
      </c>
      <c r="AF49" s="142">
        <v>0</v>
      </c>
      <c r="AG49" s="142">
        <v>0</v>
      </c>
      <c r="AH49" s="142">
        <v>0</v>
      </c>
      <c r="AI49" s="143">
        <v>1</v>
      </c>
      <c r="AJ49" s="142">
        <v>0</v>
      </c>
      <c r="AK49" s="143">
        <v>1</v>
      </c>
      <c r="AL49" s="143">
        <v>1</v>
      </c>
      <c r="AM49" s="143">
        <v>1</v>
      </c>
      <c r="AN49" s="142">
        <v>0</v>
      </c>
      <c r="AO49" s="142">
        <v>0</v>
      </c>
      <c r="AP49" s="145">
        <v>3</v>
      </c>
      <c r="AQ49" s="142">
        <v>0</v>
      </c>
      <c r="AR49" s="146">
        <v>4</v>
      </c>
      <c r="AS49" s="143">
        <v>1</v>
      </c>
      <c r="AT49" s="142">
        <v>0</v>
      </c>
      <c r="AU49" s="142">
        <v>0</v>
      </c>
      <c r="AV49" s="142">
        <v>0</v>
      </c>
      <c r="AW49" s="142">
        <v>0</v>
      </c>
      <c r="AX49" s="142">
        <v>0</v>
      </c>
      <c r="AY49" s="142">
        <v>0</v>
      </c>
      <c r="AZ49" s="142">
        <v>0</v>
      </c>
      <c r="BA49" s="142">
        <v>0</v>
      </c>
      <c r="BB49" s="142">
        <v>0</v>
      </c>
    </row>
    <row r="50" spans="8:54"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2">
        <v>0</v>
      </c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2">
        <v>0</v>
      </c>
      <c r="AA50" s="143">
        <v>1</v>
      </c>
      <c r="AB50" s="143">
        <v>1</v>
      </c>
      <c r="AC50" s="143">
        <v>1</v>
      </c>
      <c r="AD50" s="144">
        <v>2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  <c r="AK50" s="143">
        <v>1</v>
      </c>
      <c r="AL50" s="143">
        <v>1</v>
      </c>
      <c r="AM50" s="143">
        <v>1</v>
      </c>
      <c r="AN50" s="142">
        <v>0</v>
      </c>
      <c r="AO50" s="142">
        <v>0</v>
      </c>
      <c r="AP50" s="145">
        <v>3</v>
      </c>
      <c r="AQ50" s="142">
        <v>0</v>
      </c>
      <c r="AR50" s="146">
        <v>4</v>
      </c>
      <c r="AS50" s="143">
        <v>1</v>
      </c>
      <c r="AT50" s="142">
        <v>0</v>
      </c>
      <c r="AU50" s="142">
        <v>0</v>
      </c>
      <c r="AV50" s="142">
        <v>0</v>
      </c>
      <c r="AW50" s="142">
        <v>0</v>
      </c>
      <c r="AX50" s="142">
        <v>0</v>
      </c>
      <c r="AY50" s="142">
        <v>0</v>
      </c>
      <c r="AZ50" s="142">
        <v>0</v>
      </c>
      <c r="BA50" s="142">
        <v>0</v>
      </c>
      <c r="BB50" s="142">
        <v>0</v>
      </c>
    </row>
    <row r="51" spans="8:54"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2">
        <v>0</v>
      </c>
      <c r="P51" s="142">
        <v>0</v>
      </c>
      <c r="Q51" s="142">
        <v>0</v>
      </c>
      <c r="R51" s="142">
        <v>0</v>
      </c>
      <c r="S51" s="143">
        <v>1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2">
        <v>0</v>
      </c>
      <c r="AA51" s="147">
        <v>5</v>
      </c>
      <c r="AB51" s="142">
        <v>0</v>
      </c>
      <c r="AC51" s="146">
        <v>4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  <c r="AK51" s="142">
        <v>0</v>
      </c>
      <c r="AL51" s="143">
        <v>1</v>
      </c>
      <c r="AM51" s="142">
        <v>0</v>
      </c>
      <c r="AN51" s="142">
        <v>0</v>
      </c>
      <c r="AO51" s="142">
        <v>0</v>
      </c>
      <c r="AP51" s="142">
        <v>0</v>
      </c>
      <c r="AQ51" s="142">
        <v>0</v>
      </c>
      <c r="AR51" s="142">
        <v>0</v>
      </c>
      <c r="AS51" s="142">
        <v>0</v>
      </c>
      <c r="AT51" s="142">
        <v>0</v>
      </c>
      <c r="AU51" s="142">
        <v>0</v>
      </c>
      <c r="AV51" s="142">
        <v>0</v>
      </c>
      <c r="AW51" s="142">
        <v>0</v>
      </c>
      <c r="AX51" s="142">
        <v>0</v>
      </c>
      <c r="AY51" s="142">
        <v>0</v>
      </c>
      <c r="AZ51" s="142">
        <v>0</v>
      </c>
      <c r="BA51" s="143">
        <v>1</v>
      </c>
      <c r="BB51" s="142">
        <v>0</v>
      </c>
    </row>
    <row r="52" spans="8:54"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2">
        <v>0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3">
        <v>1</v>
      </c>
      <c r="W52" s="142">
        <v>0</v>
      </c>
      <c r="X52" s="142">
        <v>0</v>
      </c>
      <c r="Y52" s="142">
        <v>0</v>
      </c>
      <c r="Z52" s="143">
        <v>1</v>
      </c>
      <c r="AA52" s="148">
        <v>6</v>
      </c>
      <c r="AB52" s="143">
        <v>1</v>
      </c>
      <c r="AC52" s="146">
        <v>4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  <c r="AK52" s="143">
        <v>1</v>
      </c>
      <c r="AL52" s="143">
        <v>1</v>
      </c>
      <c r="AM52" s="142">
        <v>0</v>
      </c>
      <c r="AN52" s="142">
        <v>0</v>
      </c>
      <c r="AO52" s="142">
        <v>0</v>
      </c>
      <c r="AP52" s="142">
        <v>0</v>
      </c>
      <c r="AQ52" s="142">
        <v>0</v>
      </c>
      <c r="AR52" s="143">
        <v>1</v>
      </c>
      <c r="AS52" s="143">
        <v>1</v>
      </c>
      <c r="AT52" s="142">
        <v>0</v>
      </c>
      <c r="AU52" s="142">
        <v>0</v>
      </c>
      <c r="AV52" s="142">
        <v>0</v>
      </c>
      <c r="AW52" s="142">
        <v>0</v>
      </c>
      <c r="AX52" s="142">
        <v>0</v>
      </c>
      <c r="AY52" s="142">
        <v>0</v>
      </c>
      <c r="AZ52" s="142">
        <v>0</v>
      </c>
      <c r="BA52" s="143">
        <v>1</v>
      </c>
      <c r="BB52" s="142">
        <v>0</v>
      </c>
    </row>
    <row r="53" spans="8:54"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4">
        <v>2</v>
      </c>
      <c r="AB53" s="144">
        <v>2</v>
      </c>
      <c r="AC53" s="143">
        <v>1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3">
        <v>1</v>
      </c>
      <c r="AJ53" s="142">
        <v>0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3">
        <v>1</v>
      </c>
      <c r="AU53" s="142">
        <v>0</v>
      </c>
      <c r="AV53" s="142">
        <v>0</v>
      </c>
      <c r="AW53" s="142">
        <v>0</v>
      </c>
      <c r="AX53" s="142">
        <v>0</v>
      </c>
      <c r="AY53" s="142">
        <v>0</v>
      </c>
      <c r="AZ53" s="142">
        <v>0</v>
      </c>
      <c r="BA53" s="142">
        <v>0</v>
      </c>
      <c r="BB53" s="142">
        <v>0</v>
      </c>
    </row>
    <row r="54" spans="8:54"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2">
        <v>0</v>
      </c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4">
        <v>2</v>
      </c>
      <c r="AB54" s="144">
        <v>2</v>
      </c>
      <c r="AC54" s="143">
        <v>1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3">
        <v>1</v>
      </c>
      <c r="AJ54" s="142">
        <v>0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  <c r="AT54" s="143">
        <v>1</v>
      </c>
      <c r="AU54" s="142">
        <v>0</v>
      </c>
      <c r="AV54" s="142">
        <v>0</v>
      </c>
      <c r="AW54" s="142">
        <v>0</v>
      </c>
      <c r="AX54" s="142">
        <v>0</v>
      </c>
      <c r="AY54" s="142">
        <v>0</v>
      </c>
      <c r="AZ54" s="142">
        <v>0</v>
      </c>
      <c r="BA54" s="142">
        <v>0</v>
      </c>
      <c r="BB54" s="142">
        <v>0</v>
      </c>
    </row>
    <row r="55" spans="8:54"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4">
        <v>2</v>
      </c>
      <c r="AB55" s="144">
        <v>2</v>
      </c>
      <c r="AC55" s="143">
        <v>1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3">
        <v>1</v>
      </c>
      <c r="AJ55" s="142">
        <v>0</v>
      </c>
      <c r="AK55" s="142">
        <v>0</v>
      </c>
      <c r="AL55" s="142">
        <v>0</v>
      </c>
      <c r="AM55" s="142">
        <v>0</v>
      </c>
      <c r="AN55" s="142">
        <v>0</v>
      </c>
      <c r="AO55" s="142">
        <v>0</v>
      </c>
      <c r="AP55" s="142">
        <v>0</v>
      </c>
      <c r="AQ55" s="142">
        <v>0</v>
      </c>
      <c r="AR55" s="142">
        <v>0</v>
      </c>
      <c r="AS55" s="142">
        <v>0</v>
      </c>
      <c r="AT55" s="143">
        <v>1</v>
      </c>
      <c r="AU55" s="142">
        <v>0</v>
      </c>
      <c r="AV55" s="142">
        <v>0</v>
      </c>
      <c r="AW55" s="142">
        <v>0</v>
      </c>
      <c r="AX55" s="142">
        <v>0</v>
      </c>
      <c r="AY55" s="142">
        <v>0</v>
      </c>
      <c r="AZ55" s="142">
        <v>0</v>
      </c>
      <c r="BA55" s="142">
        <v>0</v>
      </c>
      <c r="BB55" s="142">
        <v>0</v>
      </c>
    </row>
    <row r="56" spans="8:54"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2">
        <v>0</v>
      </c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3">
        <v>1</v>
      </c>
      <c r="AB56" s="143">
        <v>1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3">
        <v>1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142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</row>
    <row r="57" spans="8:54"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3">
        <v>1</v>
      </c>
      <c r="AA57" s="143">
        <v>1</v>
      </c>
      <c r="AB57" s="144">
        <v>2</v>
      </c>
      <c r="AC57" s="143">
        <v>1</v>
      </c>
      <c r="AD57" s="143">
        <v>1</v>
      </c>
      <c r="AE57" s="142">
        <v>0</v>
      </c>
      <c r="AF57" s="142">
        <v>0</v>
      </c>
      <c r="AG57" s="142">
        <v>0</v>
      </c>
      <c r="AH57" s="142">
        <v>0</v>
      </c>
      <c r="AI57" s="143">
        <v>1</v>
      </c>
      <c r="AJ57" s="142">
        <v>0</v>
      </c>
      <c r="AK57" s="143">
        <v>1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3">
        <v>1</v>
      </c>
      <c r="AS57" s="142">
        <v>0</v>
      </c>
      <c r="AT57" s="142">
        <v>0</v>
      </c>
      <c r="AU57" s="142">
        <v>0</v>
      </c>
      <c r="AV57" s="142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</row>
    <row r="58" spans="8:54"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3">
        <v>1</v>
      </c>
      <c r="Q58" s="142">
        <v>0</v>
      </c>
      <c r="R58" s="142">
        <v>0</v>
      </c>
      <c r="S58" s="143">
        <v>1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2">
        <v>0</v>
      </c>
      <c r="AA58" s="143">
        <v>1</v>
      </c>
      <c r="AB58" s="144">
        <v>2</v>
      </c>
      <c r="AC58" s="142">
        <v>0</v>
      </c>
      <c r="AD58" s="143">
        <v>1</v>
      </c>
      <c r="AE58" s="142">
        <v>0</v>
      </c>
      <c r="AF58" s="143">
        <v>1</v>
      </c>
      <c r="AG58" s="142">
        <v>0</v>
      </c>
      <c r="AH58" s="142">
        <v>0</v>
      </c>
      <c r="AI58" s="143">
        <v>1</v>
      </c>
      <c r="AJ58" s="142">
        <v>0</v>
      </c>
      <c r="AK58" s="142">
        <v>0</v>
      </c>
      <c r="AL58" s="142">
        <v>0</v>
      </c>
      <c r="AM58" s="142">
        <v>0</v>
      </c>
      <c r="AN58" s="142">
        <v>0</v>
      </c>
      <c r="AO58" s="142">
        <v>0</v>
      </c>
      <c r="AP58" s="142">
        <v>0</v>
      </c>
      <c r="AQ58" s="142">
        <v>0</v>
      </c>
      <c r="AR58" s="142">
        <v>0</v>
      </c>
      <c r="AS58" s="142">
        <v>0</v>
      </c>
      <c r="AT58" s="142">
        <v>0</v>
      </c>
      <c r="AU58" s="143">
        <v>1</v>
      </c>
      <c r="AV58" s="142">
        <v>0</v>
      </c>
      <c r="AW58" s="142">
        <v>0</v>
      </c>
      <c r="AX58" s="142">
        <v>0</v>
      </c>
      <c r="AY58" s="142">
        <v>0</v>
      </c>
      <c r="AZ58" s="142">
        <v>0</v>
      </c>
      <c r="BA58" s="142">
        <v>0</v>
      </c>
      <c r="BB58" s="142">
        <v>0</v>
      </c>
    </row>
    <row r="59" spans="8:54"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2">
        <v>0</v>
      </c>
      <c r="AA59" s="143">
        <v>1</v>
      </c>
      <c r="AB59" s="143">
        <v>1</v>
      </c>
      <c r="AC59" s="143">
        <v>1</v>
      </c>
      <c r="AD59" s="143">
        <v>1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  <c r="AK59" s="143">
        <v>1</v>
      </c>
      <c r="AL59" s="142">
        <v>0</v>
      </c>
      <c r="AM59" s="143">
        <v>1</v>
      </c>
      <c r="AN59" s="142">
        <v>0</v>
      </c>
      <c r="AO59" s="142">
        <v>0</v>
      </c>
      <c r="AP59" s="142">
        <v>0</v>
      </c>
      <c r="AQ59" s="142">
        <v>0</v>
      </c>
      <c r="AR59" s="142">
        <v>0</v>
      </c>
      <c r="AS59" s="142">
        <v>0</v>
      </c>
      <c r="AT59" s="142">
        <v>0</v>
      </c>
      <c r="AU59" s="142">
        <v>0</v>
      </c>
      <c r="AV59" s="142">
        <v>0</v>
      </c>
      <c r="AW59" s="142">
        <v>0</v>
      </c>
      <c r="AX59" s="142">
        <v>0</v>
      </c>
      <c r="AY59" s="142">
        <v>0</v>
      </c>
      <c r="AZ59" s="143">
        <v>1</v>
      </c>
      <c r="BA59" s="143">
        <v>1</v>
      </c>
      <c r="BB59" s="142">
        <v>0</v>
      </c>
    </row>
    <row r="60" spans="8:54"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3">
        <v>1</v>
      </c>
      <c r="AB60" s="143">
        <v>1</v>
      </c>
      <c r="AC60" s="143">
        <v>1</v>
      </c>
      <c r="AD60" s="143">
        <v>1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  <c r="AK60" s="143">
        <v>1</v>
      </c>
      <c r="AL60" s="142">
        <v>0</v>
      </c>
      <c r="AM60" s="142">
        <v>0</v>
      </c>
      <c r="AN60" s="142">
        <v>0</v>
      </c>
      <c r="AO60" s="142">
        <v>0</v>
      </c>
      <c r="AP60" s="142">
        <v>0</v>
      </c>
      <c r="AQ60" s="142">
        <v>0</v>
      </c>
      <c r="AR60" s="142">
        <v>0</v>
      </c>
      <c r="AS60" s="142">
        <v>0</v>
      </c>
      <c r="AT60" s="142">
        <v>0</v>
      </c>
      <c r="AU60" s="142">
        <v>0</v>
      </c>
      <c r="AV60" s="142">
        <v>0</v>
      </c>
      <c r="AW60" s="142">
        <v>0</v>
      </c>
      <c r="AX60" s="142">
        <v>0</v>
      </c>
      <c r="AY60" s="142">
        <v>0</v>
      </c>
      <c r="AZ60" s="143">
        <v>1</v>
      </c>
      <c r="BA60" s="143">
        <v>1</v>
      </c>
      <c r="BB60" s="142">
        <v>0</v>
      </c>
    </row>
    <row r="61" spans="8:54"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2">
        <v>0</v>
      </c>
      <c r="AA61" s="143">
        <v>1</v>
      </c>
      <c r="AB61" s="143">
        <v>1</v>
      </c>
      <c r="AC61" s="143">
        <v>1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5">
        <v>3</v>
      </c>
      <c r="AJ61" s="142">
        <v>0</v>
      </c>
      <c r="AK61" s="142">
        <v>0</v>
      </c>
      <c r="AL61" s="144">
        <v>2</v>
      </c>
      <c r="AM61" s="142">
        <v>0</v>
      </c>
      <c r="AN61" s="142">
        <v>0</v>
      </c>
      <c r="AO61" s="142">
        <v>0</v>
      </c>
      <c r="AP61" s="142">
        <v>0</v>
      </c>
      <c r="AQ61" s="142">
        <v>0</v>
      </c>
      <c r="AR61" s="143">
        <v>1</v>
      </c>
      <c r="AS61" s="142">
        <v>0</v>
      </c>
      <c r="AT61" s="146">
        <v>4</v>
      </c>
      <c r="AU61" s="142">
        <v>0</v>
      </c>
      <c r="AV61" s="142">
        <v>0</v>
      </c>
      <c r="AW61" s="142">
        <v>0</v>
      </c>
      <c r="AX61" s="143">
        <v>1</v>
      </c>
      <c r="AY61" s="142">
        <v>0</v>
      </c>
      <c r="AZ61" s="142">
        <v>0</v>
      </c>
      <c r="BA61" s="142">
        <v>0</v>
      </c>
      <c r="BB61" s="142">
        <v>0</v>
      </c>
    </row>
    <row r="62" spans="8:54">
      <c r="H62" s="142">
        <v>0</v>
      </c>
      <c r="I62" s="142">
        <v>0</v>
      </c>
      <c r="J62" s="142">
        <v>0</v>
      </c>
      <c r="K62" s="142">
        <v>0</v>
      </c>
      <c r="L62" s="142">
        <v>0</v>
      </c>
      <c r="M62" s="142">
        <v>0</v>
      </c>
      <c r="N62" s="142">
        <v>0</v>
      </c>
      <c r="O62" s="142">
        <v>0</v>
      </c>
      <c r="P62" s="142">
        <v>0</v>
      </c>
      <c r="Q62" s="142">
        <v>0</v>
      </c>
      <c r="R62" s="142">
        <v>0</v>
      </c>
      <c r="S62" s="143">
        <v>1</v>
      </c>
      <c r="T62" s="142">
        <v>0</v>
      </c>
      <c r="U62" s="142">
        <v>0</v>
      </c>
      <c r="V62" s="142">
        <v>0</v>
      </c>
      <c r="W62" s="142">
        <v>0</v>
      </c>
      <c r="X62" s="142">
        <v>0</v>
      </c>
      <c r="Y62" s="142">
        <v>0</v>
      </c>
      <c r="Z62" s="142">
        <v>0</v>
      </c>
      <c r="AA62" s="142">
        <v>0</v>
      </c>
      <c r="AB62" s="143">
        <v>1</v>
      </c>
      <c r="AC62" s="143">
        <v>1</v>
      </c>
      <c r="AD62" s="142">
        <v>0</v>
      </c>
      <c r="AE62" s="142">
        <v>0</v>
      </c>
      <c r="AF62" s="142">
        <v>0</v>
      </c>
      <c r="AG62" s="142">
        <v>0</v>
      </c>
      <c r="AH62" s="142">
        <v>0</v>
      </c>
      <c r="AI62" s="146">
        <v>4</v>
      </c>
      <c r="AJ62" s="142">
        <v>0</v>
      </c>
      <c r="AK62" s="142">
        <v>0</v>
      </c>
      <c r="AL62" s="142">
        <v>0</v>
      </c>
      <c r="AM62" s="142">
        <v>0</v>
      </c>
      <c r="AN62" s="142">
        <v>0</v>
      </c>
      <c r="AO62" s="142">
        <v>0</v>
      </c>
      <c r="AP62" s="142">
        <v>0</v>
      </c>
      <c r="AQ62" s="142">
        <v>0</v>
      </c>
      <c r="AR62" s="142">
        <v>0</v>
      </c>
      <c r="AS62" s="142">
        <v>0</v>
      </c>
      <c r="AT62" s="146">
        <v>4</v>
      </c>
      <c r="AU62" s="142">
        <v>0</v>
      </c>
      <c r="AV62" s="142">
        <v>0</v>
      </c>
      <c r="AW62" s="142">
        <v>0</v>
      </c>
      <c r="AX62" s="142">
        <v>0</v>
      </c>
      <c r="AY62" s="142">
        <v>0</v>
      </c>
      <c r="AZ62" s="142">
        <v>0</v>
      </c>
      <c r="BA62" s="142">
        <v>0</v>
      </c>
      <c r="BB62" s="142">
        <v>0</v>
      </c>
    </row>
    <row r="63" spans="8:54">
      <c r="H63" s="142">
        <v>0</v>
      </c>
      <c r="I63" s="142">
        <v>0</v>
      </c>
      <c r="J63" s="142">
        <v>0</v>
      </c>
      <c r="K63" s="142">
        <v>0</v>
      </c>
      <c r="L63" s="142">
        <v>0</v>
      </c>
      <c r="M63" s="142">
        <v>0</v>
      </c>
      <c r="N63" s="142">
        <v>0</v>
      </c>
      <c r="O63" s="142">
        <v>0</v>
      </c>
      <c r="P63" s="143">
        <v>1</v>
      </c>
      <c r="Q63" s="142">
        <v>0</v>
      </c>
      <c r="R63" s="142">
        <v>0</v>
      </c>
      <c r="S63" s="143">
        <v>1</v>
      </c>
      <c r="T63" s="142">
        <v>0</v>
      </c>
      <c r="U63" s="142">
        <v>0</v>
      </c>
      <c r="V63" s="142">
        <v>0</v>
      </c>
      <c r="W63" s="142">
        <v>0</v>
      </c>
      <c r="X63" s="142">
        <v>0</v>
      </c>
      <c r="Y63" s="142">
        <v>0</v>
      </c>
      <c r="Z63" s="142">
        <v>0</v>
      </c>
      <c r="AA63" s="142">
        <v>0</v>
      </c>
      <c r="AB63" s="143">
        <v>1</v>
      </c>
      <c r="AC63" s="142">
        <v>0</v>
      </c>
      <c r="AD63" s="142">
        <v>0</v>
      </c>
      <c r="AE63" s="142">
        <v>0</v>
      </c>
      <c r="AF63" s="143">
        <v>1</v>
      </c>
      <c r="AG63" s="143">
        <v>1</v>
      </c>
      <c r="AH63" s="142">
        <v>0</v>
      </c>
      <c r="AI63" s="146">
        <v>4</v>
      </c>
      <c r="AJ63" s="142">
        <v>0</v>
      </c>
      <c r="AK63" s="142">
        <v>0</v>
      </c>
      <c r="AL63" s="143">
        <v>1</v>
      </c>
      <c r="AM63" s="142">
        <v>0</v>
      </c>
      <c r="AN63" s="142">
        <v>0</v>
      </c>
      <c r="AO63" s="142">
        <v>0</v>
      </c>
      <c r="AP63" s="142">
        <v>0</v>
      </c>
      <c r="AQ63" s="142">
        <v>0</v>
      </c>
      <c r="AR63" s="142">
        <v>0</v>
      </c>
      <c r="AS63" s="142">
        <v>0</v>
      </c>
      <c r="AT63" s="145">
        <v>3</v>
      </c>
      <c r="AU63" s="143">
        <v>1</v>
      </c>
      <c r="AV63" s="142">
        <v>0</v>
      </c>
      <c r="AW63" s="142">
        <v>0</v>
      </c>
      <c r="AX63" s="142">
        <v>0</v>
      </c>
      <c r="AY63" s="142">
        <v>0</v>
      </c>
      <c r="AZ63" s="142">
        <v>0</v>
      </c>
      <c r="BA63" s="142">
        <v>0</v>
      </c>
      <c r="BB63" s="142">
        <v>0</v>
      </c>
    </row>
    <row r="64" spans="8:54"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42">
        <v>0</v>
      </c>
      <c r="AA64" s="142">
        <v>0</v>
      </c>
      <c r="AB64" s="142">
        <v>0</v>
      </c>
      <c r="AC64" s="143">
        <v>1</v>
      </c>
      <c r="AD64" s="143">
        <v>1</v>
      </c>
      <c r="AE64" s="142">
        <v>0</v>
      </c>
      <c r="AF64" s="142">
        <v>0</v>
      </c>
      <c r="AG64" s="142">
        <v>0</v>
      </c>
      <c r="AH64" s="14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42">
        <v>0</v>
      </c>
      <c r="AO64" s="142">
        <v>0</v>
      </c>
      <c r="AP64" s="142">
        <v>0</v>
      </c>
      <c r="AQ64" s="142">
        <v>0</v>
      </c>
      <c r="AR64" s="143">
        <v>1</v>
      </c>
      <c r="AS64" s="142">
        <v>0</v>
      </c>
      <c r="AT64" s="142">
        <v>0</v>
      </c>
      <c r="AU64" s="142">
        <v>0</v>
      </c>
      <c r="AV64" s="142">
        <v>0</v>
      </c>
      <c r="AW64" s="142">
        <v>0</v>
      </c>
      <c r="AX64" s="142">
        <v>0</v>
      </c>
      <c r="AY64" s="142">
        <v>0</v>
      </c>
      <c r="AZ64" s="142">
        <v>0</v>
      </c>
      <c r="BA64" s="142">
        <v>0</v>
      </c>
      <c r="BB64" s="142">
        <v>0</v>
      </c>
    </row>
    <row r="65" spans="8:54"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2">
        <v>0</v>
      </c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2">
        <v>0</v>
      </c>
      <c r="AA65" s="142">
        <v>0</v>
      </c>
      <c r="AB65" s="142">
        <v>0</v>
      </c>
      <c r="AC65" s="143">
        <v>1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  <c r="AK65" s="142">
        <v>0</v>
      </c>
      <c r="AL65" s="142">
        <v>0</v>
      </c>
      <c r="AM65" s="142">
        <v>0</v>
      </c>
      <c r="AN65" s="142">
        <v>0</v>
      </c>
      <c r="AO65" s="142">
        <v>0</v>
      </c>
      <c r="AP65" s="142">
        <v>0</v>
      </c>
      <c r="AQ65" s="142">
        <v>0</v>
      </c>
      <c r="AR65" s="143">
        <v>1</v>
      </c>
      <c r="AS65" s="142">
        <v>0</v>
      </c>
      <c r="AT65" s="142">
        <v>0</v>
      </c>
      <c r="AU65" s="142">
        <v>0</v>
      </c>
      <c r="AV65" s="142">
        <v>0</v>
      </c>
      <c r="AW65" s="142">
        <v>0</v>
      </c>
      <c r="AX65" s="143">
        <v>1</v>
      </c>
      <c r="AY65" s="142">
        <v>0</v>
      </c>
      <c r="AZ65" s="142">
        <v>0</v>
      </c>
      <c r="BA65" s="142">
        <v>0</v>
      </c>
      <c r="BB65" s="142">
        <v>0</v>
      </c>
    </row>
    <row r="66" spans="8:54"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2">
        <v>0</v>
      </c>
      <c r="AA66" s="142">
        <v>0</v>
      </c>
      <c r="AB66" s="142">
        <v>0</v>
      </c>
      <c r="AC66" s="143">
        <v>1</v>
      </c>
      <c r="AD66" s="142">
        <v>0</v>
      </c>
      <c r="AE66" s="142">
        <v>0</v>
      </c>
      <c r="AF66" s="142">
        <v>0</v>
      </c>
      <c r="AG66" s="142">
        <v>0</v>
      </c>
      <c r="AH66" s="142">
        <v>0</v>
      </c>
      <c r="AI66" s="142">
        <v>0</v>
      </c>
      <c r="AJ66" s="142">
        <v>0</v>
      </c>
      <c r="AK66" s="142">
        <v>0</v>
      </c>
      <c r="AL66" s="142">
        <v>0</v>
      </c>
      <c r="AM66" s="142">
        <v>0</v>
      </c>
      <c r="AN66" s="142">
        <v>0</v>
      </c>
      <c r="AO66" s="142">
        <v>0</v>
      </c>
      <c r="AP66" s="142">
        <v>0</v>
      </c>
      <c r="AQ66" s="142">
        <v>0</v>
      </c>
      <c r="AR66" s="143">
        <v>1</v>
      </c>
      <c r="AS66" s="143">
        <v>1</v>
      </c>
      <c r="AT66" s="142">
        <v>0</v>
      </c>
      <c r="AU66" s="142">
        <v>0</v>
      </c>
      <c r="AV66" s="142">
        <v>0</v>
      </c>
      <c r="AW66" s="142">
        <v>0</v>
      </c>
      <c r="AX66" s="143">
        <v>1</v>
      </c>
      <c r="AY66" s="142">
        <v>0</v>
      </c>
      <c r="AZ66" s="142">
        <v>0</v>
      </c>
      <c r="BA66" s="142">
        <v>0</v>
      </c>
      <c r="BB66" s="142">
        <v>0</v>
      </c>
    </row>
    <row r="67" spans="8:54"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2">
        <v>0</v>
      </c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2">
        <v>0</v>
      </c>
      <c r="AA67" s="142">
        <v>0</v>
      </c>
      <c r="AB67" s="142">
        <v>0</v>
      </c>
      <c r="AC67" s="143">
        <v>1</v>
      </c>
      <c r="AD67" s="142">
        <v>0</v>
      </c>
      <c r="AE67" s="142">
        <v>0</v>
      </c>
      <c r="AF67" s="142">
        <v>0</v>
      </c>
      <c r="AG67" s="142">
        <v>0</v>
      </c>
      <c r="AH67" s="142">
        <v>0</v>
      </c>
      <c r="AI67" s="142">
        <v>0</v>
      </c>
      <c r="AJ67" s="142">
        <v>0</v>
      </c>
      <c r="AK67" s="142">
        <v>0</v>
      </c>
      <c r="AL67" s="142">
        <v>0</v>
      </c>
      <c r="AM67" s="142">
        <v>0</v>
      </c>
      <c r="AN67" s="142">
        <v>0</v>
      </c>
      <c r="AO67" s="142">
        <v>0</v>
      </c>
      <c r="AP67" s="142">
        <v>0</v>
      </c>
      <c r="AQ67" s="142">
        <v>0</v>
      </c>
      <c r="AR67" s="142">
        <v>0</v>
      </c>
      <c r="AS67" s="143">
        <v>1</v>
      </c>
      <c r="AT67" s="142">
        <v>0</v>
      </c>
      <c r="AU67" s="142">
        <v>0</v>
      </c>
      <c r="AV67" s="142">
        <v>0</v>
      </c>
      <c r="AW67" s="142">
        <v>0</v>
      </c>
      <c r="AX67" s="143">
        <v>1</v>
      </c>
      <c r="AY67" s="142">
        <v>0</v>
      </c>
      <c r="AZ67" s="142">
        <v>0</v>
      </c>
      <c r="BA67" s="142">
        <v>0</v>
      </c>
      <c r="BB67" s="142">
        <v>0</v>
      </c>
    </row>
    <row r="68" spans="8:54"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2">
        <v>0</v>
      </c>
      <c r="AA68" s="142">
        <v>0</v>
      </c>
      <c r="AB68" s="143">
        <v>1</v>
      </c>
      <c r="AC68" s="142">
        <v>0</v>
      </c>
      <c r="AD68" s="143">
        <v>1</v>
      </c>
      <c r="AE68" s="142">
        <v>0</v>
      </c>
      <c r="AF68" s="142">
        <v>0</v>
      </c>
      <c r="AG68" s="142">
        <v>0</v>
      </c>
      <c r="AH68" s="142">
        <v>0</v>
      </c>
      <c r="AI68" s="145">
        <v>3</v>
      </c>
      <c r="AJ68" s="142">
        <v>0</v>
      </c>
      <c r="AK68" s="143">
        <v>1</v>
      </c>
      <c r="AL68" s="143">
        <v>1</v>
      </c>
      <c r="AM68" s="143">
        <v>1</v>
      </c>
      <c r="AN68" s="142">
        <v>0</v>
      </c>
      <c r="AO68" s="142">
        <v>0</v>
      </c>
      <c r="AP68" s="145">
        <v>3</v>
      </c>
      <c r="AQ68" s="142">
        <v>0</v>
      </c>
      <c r="AR68" s="142">
        <v>0</v>
      </c>
      <c r="AS68" s="143">
        <v>1</v>
      </c>
      <c r="AT68" s="145">
        <v>3</v>
      </c>
      <c r="AU68" s="142">
        <v>0</v>
      </c>
      <c r="AV68" s="142">
        <v>0</v>
      </c>
      <c r="AW68" s="142">
        <v>0</v>
      </c>
      <c r="AX68" s="142">
        <v>0</v>
      </c>
      <c r="AY68" s="142">
        <v>0</v>
      </c>
      <c r="AZ68" s="143">
        <v>1</v>
      </c>
      <c r="BA68" s="143">
        <v>1</v>
      </c>
      <c r="BB68" s="142">
        <v>0</v>
      </c>
    </row>
    <row r="69" spans="8:54"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2">
        <v>0</v>
      </c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2">
        <v>0</v>
      </c>
      <c r="AA69" s="142">
        <v>0</v>
      </c>
      <c r="AB69" s="143">
        <v>1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5">
        <v>3</v>
      </c>
      <c r="AJ69" s="142">
        <v>0</v>
      </c>
      <c r="AK69" s="142">
        <v>0</v>
      </c>
      <c r="AL69" s="142">
        <v>0</v>
      </c>
      <c r="AM69" s="142">
        <v>0</v>
      </c>
      <c r="AN69" s="142">
        <v>0</v>
      </c>
      <c r="AO69" s="142">
        <v>0</v>
      </c>
      <c r="AP69" s="145">
        <v>3</v>
      </c>
      <c r="AQ69" s="142">
        <v>0</v>
      </c>
      <c r="AR69" s="143">
        <v>1</v>
      </c>
      <c r="AS69" s="142">
        <v>0</v>
      </c>
      <c r="AT69" s="145">
        <v>3</v>
      </c>
      <c r="AU69" s="142">
        <v>0</v>
      </c>
      <c r="AV69" s="142">
        <v>0</v>
      </c>
      <c r="AW69" s="142">
        <v>0</v>
      </c>
      <c r="AX69" s="142">
        <v>0</v>
      </c>
      <c r="AY69" s="142">
        <v>0</v>
      </c>
      <c r="AZ69" s="142">
        <v>0</v>
      </c>
      <c r="BA69" s="142">
        <v>0</v>
      </c>
      <c r="BB69" s="142">
        <v>0</v>
      </c>
    </row>
    <row r="70" spans="8:54"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3">
        <v>1</v>
      </c>
      <c r="U70" s="148">
        <v>6</v>
      </c>
      <c r="V70" s="144">
        <v>2</v>
      </c>
      <c r="W70" s="144">
        <v>2</v>
      </c>
      <c r="X70" s="143">
        <v>1</v>
      </c>
      <c r="Y70" s="142">
        <v>0</v>
      </c>
      <c r="Z70" s="144">
        <v>2</v>
      </c>
      <c r="AA70" s="142">
        <v>0</v>
      </c>
      <c r="AB70" s="142">
        <v>0</v>
      </c>
      <c r="AC70" s="142">
        <v>0</v>
      </c>
      <c r="AD70" s="143">
        <v>1</v>
      </c>
      <c r="AE70" s="142">
        <v>0</v>
      </c>
      <c r="AF70" s="142">
        <v>0</v>
      </c>
      <c r="AG70" s="142">
        <v>0</v>
      </c>
      <c r="AH70" s="142">
        <v>0</v>
      </c>
      <c r="AI70" s="142">
        <v>0</v>
      </c>
      <c r="AJ70" s="142">
        <v>0</v>
      </c>
      <c r="AK70" s="143">
        <v>1</v>
      </c>
      <c r="AL70" s="142">
        <v>0</v>
      </c>
      <c r="AM70" s="142">
        <v>0</v>
      </c>
      <c r="AN70" s="142">
        <v>0</v>
      </c>
      <c r="AO70" s="142">
        <v>0</v>
      </c>
      <c r="AP70" s="146">
        <v>4</v>
      </c>
      <c r="AQ70" s="142">
        <v>0</v>
      </c>
      <c r="AR70" s="142">
        <v>0</v>
      </c>
      <c r="AS70" s="143">
        <v>1</v>
      </c>
      <c r="AT70" s="143">
        <v>1</v>
      </c>
      <c r="AU70" s="142">
        <v>0</v>
      </c>
      <c r="AV70" s="142">
        <v>0</v>
      </c>
      <c r="AW70" s="143">
        <v>1</v>
      </c>
      <c r="AX70" s="142">
        <v>0</v>
      </c>
      <c r="AY70" s="143">
        <v>1</v>
      </c>
      <c r="AZ70" s="142">
        <v>0</v>
      </c>
      <c r="BA70" s="142">
        <v>0</v>
      </c>
      <c r="BB70" s="142">
        <v>0</v>
      </c>
    </row>
    <row r="71" spans="8:54"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2">
        <v>0</v>
      </c>
      <c r="P71" s="142">
        <v>0</v>
      </c>
      <c r="Q71" s="142">
        <v>0</v>
      </c>
      <c r="R71" s="142">
        <v>0</v>
      </c>
      <c r="S71" s="142">
        <v>0</v>
      </c>
      <c r="T71" s="143">
        <v>1</v>
      </c>
      <c r="U71" s="148">
        <v>6</v>
      </c>
      <c r="V71" s="144">
        <v>2</v>
      </c>
      <c r="W71" s="144">
        <v>2</v>
      </c>
      <c r="X71" s="143">
        <v>1</v>
      </c>
      <c r="Y71" s="142">
        <v>0</v>
      </c>
      <c r="Z71" s="144">
        <v>2</v>
      </c>
      <c r="AA71" s="142">
        <v>0</v>
      </c>
      <c r="AB71" s="142">
        <v>0</v>
      </c>
      <c r="AC71" s="142">
        <v>0</v>
      </c>
      <c r="AD71" s="143">
        <v>1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  <c r="AK71" s="142">
        <v>0</v>
      </c>
      <c r="AL71" s="142">
        <v>0</v>
      </c>
      <c r="AM71" s="142">
        <v>0</v>
      </c>
      <c r="AN71" s="142">
        <v>0</v>
      </c>
      <c r="AO71" s="142">
        <v>0</v>
      </c>
      <c r="AP71" s="146">
        <v>4</v>
      </c>
      <c r="AQ71" s="142">
        <v>0</v>
      </c>
      <c r="AR71" s="142">
        <v>0</v>
      </c>
      <c r="AS71" s="143">
        <v>1</v>
      </c>
      <c r="AT71" s="142">
        <v>0</v>
      </c>
      <c r="AU71" s="142">
        <v>0</v>
      </c>
      <c r="AV71" s="142">
        <v>0</v>
      </c>
      <c r="AW71" s="143">
        <v>1</v>
      </c>
      <c r="AX71" s="142">
        <v>0</v>
      </c>
      <c r="AY71" s="142">
        <v>0</v>
      </c>
      <c r="AZ71" s="142">
        <v>0</v>
      </c>
      <c r="BA71" s="142">
        <v>0</v>
      </c>
      <c r="BB71" s="142">
        <v>0</v>
      </c>
    </row>
    <row r="72" spans="8:54"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2">
        <v>0</v>
      </c>
      <c r="P72" s="142">
        <v>0</v>
      </c>
      <c r="Q72" s="142">
        <v>0</v>
      </c>
      <c r="R72" s="142">
        <v>0</v>
      </c>
      <c r="S72" s="142">
        <v>0</v>
      </c>
      <c r="T72" s="143">
        <v>1</v>
      </c>
      <c r="U72" s="145">
        <v>3</v>
      </c>
      <c r="V72" s="144">
        <v>2</v>
      </c>
      <c r="W72" s="143">
        <v>1</v>
      </c>
      <c r="X72" s="142">
        <v>0</v>
      </c>
      <c r="Y72" s="142">
        <v>0</v>
      </c>
      <c r="Z72" s="144">
        <v>2</v>
      </c>
      <c r="AA72" s="142">
        <v>0</v>
      </c>
      <c r="AB72" s="142">
        <v>0</v>
      </c>
      <c r="AC72" s="142">
        <v>0</v>
      </c>
      <c r="AD72" s="143">
        <v>1</v>
      </c>
      <c r="AE72" s="142">
        <v>0</v>
      </c>
      <c r="AF72" s="142">
        <v>0</v>
      </c>
      <c r="AG72" s="142">
        <v>0</v>
      </c>
      <c r="AH72" s="142">
        <v>0</v>
      </c>
      <c r="AI72" s="142">
        <v>0</v>
      </c>
      <c r="AJ72" s="142">
        <v>0</v>
      </c>
      <c r="AK72" s="142">
        <v>0</v>
      </c>
      <c r="AL72" s="142">
        <v>0</v>
      </c>
      <c r="AM72" s="142">
        <v>0</v>
      </c>
      <c r="AN72" s="142">
        <v>0</v>
      </c>
      <c r="AO72" s="142">
        <v>0</v>
      </c>
      <c r="AP72" s="146">
        <v>4</v>
      </c>
      <c r="AQ72" s="142">
        <v>0</v>
      </c>
      <c r="AR72" s="142">
        <v>0</v>
      </c>
      <c r="AS72" s="143">
        <v>1</v>
      </c>
      <c r="AT72" s="142">
        <v>0</v>
      </c>
      <c r="AU72" s="142">
        <v>0</v>
      </c>
      <c r="AV72" s="142">
        <v>0</v>
      </c>
      <c r="AW72" s="142">
        <v>0</v>
      </c>
      <c r="AX72" s="142">
        <v>0</v>
      </c>
      <c r="AY72" s="142">
        <v>0</v>
      </c>
      <c r="AZ72" s="142">
        <v>0</v>
      </c>
      <c r="BA72" s="142">
        <v>0</v>
      </c>
      <c r="BB72" s="142">
        <v>0</v>
      </c>
    </row>
    <row r="73" spans="8:54"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2">
        <v>0</v>
      </c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7">
        <v>5</v>
      </c>
      <c r="V73" s="143">
        <v>1</v>
      </c>
      <c r="W73" s="143">
        <v>1</v>
      </c>
      <c r="X73" s="142">
        <v>0</v>
      </c>
      <c r="Y73" s="142">
        <v>0</v>
      </c>
      <c r="Z73" s="143">
        <v>1</v>
      </c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  <c r="AK73" s="142">
        <v>0</v>
      </c>
      <c r="AL73" s="142">
        <v>0</v>
      </c>
      <c r="AM73" s="142">
        <v>0</v>
      </c>
      <c r="AN73" s="142">
        <v>0</v>
      </c>
      <c r="AO73" s="142">
        <v>0</v>
      </c>
      <c r="AP73" s="142">
        <v>0</v>
      </c>
      <c r="AQ73" s="142">
        <v>0</v>
      </c>
      <c r="AR73" s="142">
        <v>0</v>
      </c>
      <c r="AS73" s="143">
        <v>1</v>
      </c>
      <c r="AT73" s="142">
        <v>0</v>
      </c>
      <c r="AU73" s="142">
        <v>0</v>
      </c>
      <c r="AV73" s="142">
        <v>0</v>
      </c>
      <c r="AW73" s="142">
        <v>0</v>
      </c>
      <c r="AX73" s="142">
        <v>0</v>
      </c>
      <c r="AY73" s="142">
        <v>0</v>
      </c>
      <c r="AZ73" s="142">
        <v>0</v>
      </c>
      <c r="BA73" s="142">
        <v>0</v>
      </c>
      <c r="BB73" s="142">
        <v>0</v>
      </c>
    </row>
    <row r="74" spans="8:54"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>
        <v>0</v>
      </c>
      <c r="R74" s="142">
        <v>0</v>
      </c>
      <c r="S74" s="142">
        <v>0</v>
      </c>
      <c r="T74" s="143">
        <v>1</v>
      </c>
      <c r="U74" s="148">
        <v>6</v>
      </c>
      <c r="V74" s="144">
        <v>2</v>
      </c>
      <c r="W74" s="144">
        <v>2</v>
      </c>
      <c r="X74" s="142">
        <v>0</v>
      </c>
      <c r="Y74" s="142">
        <v>0</v>
      </c>
      <c r="Z74" s="144">
        <v>2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4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42">
        <v>0</v>
      </c>
      <c r="AO74" s="142">
        <v>0</v>
      </c>
      <c r="AP74" s="142">
        <v>0</v>
      </c>
      <c r="AQ74" s="142">
        <v>0</v>
      </c>
      <c r="AR74" s="142">
        <v>0</v>
      </c>
      <c r="AS74" s="143">
        <v>1</v>
      </c>
      <c r="AT74" s="142">
        <v>0</v>
      </c>
      <c r="AU74" s="142">
        <v>0</v>
      </c>
      <c r="AV74" s="142">
        <v>0</v>
      </c>
      <c r="AW74" s="142">
        <v>0</v>
      </c>
      <c r="AX74" s="142">
        <v>0</v>
      </c>
      <c r="AY74" s="142">
        <v>0</v>
      </c>
      <c r="AZ74" s="142">
        <v>0</v>
      </c>
      <c r="BA74" s="142">
        <v>0</v>
      </c>
      <c r="BB74" s="142">
        <v>0</v>
      </c>
    </row>
    <row r="75" spans="8:54"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3">
        <v>1</v>
      </c>
      <c r="U75" s="145">
        <v>3</v>
      </c>
      <c r="V75" s="144">
        <v>2</v>
      </c>
      <c r="W75" s="144">
        <v>2</v>
      </c>
      <c r="X75" s="142">
        <v>0</v>
      </c>
      <c r="Y75" s="142">
        <v>0</v>
      </c>
      <c r="Z75" s="144">
        <v>2</v>
      </c>
      <c r="AA75" s="143">
        <v>1</v>
      </c>
      <c r="AB75" s="144">
        <v>2</v>
      </c>
      <c r="AC75" s="143">
        <v>1</v>
      </c>
      <c r="AD75" s="143">
        <v>1</v>
      </c>
      <c r="AE75" s="142">
        <v>0</v>
      </c>
      <c r="AF75" s="142">
        <v>0</v>
      </c>
      <c r="AG75" s="143">
        <v>1</v>
      </c>
      <c r="AH75" s="142">
        <v>0</v>
      </c>
      <c r="AI75" s="143">
        <v>1</v>
      </c>
      <c r="AJ75" s="142">
        <v>0</v>
      </c>
      <c r="AK75" s="142">
        <v>0</v>
      </c>
      <c r="AL75" s="142">
        <v>0</v>
      </c>
      <c r="AM75" s="142">
        <v>0</v>
      </c>
      <c r="AN75" s="142">
        <v>0</v>
      </c>
      <c r="AO75" s="142">
        <v>0</v>
      </c>
      <c r="AP75" s="142">
        <v>0</v>
      </c>
      <c r="AQ75" s="142">
        <v>0</v>
      </c>
      <c r="AR75" s="142">
        <v>0</v>
      </c>
      <c r="AS75" s="143">
        <v>1</v>
      </c>
      <c r="AT75" s="142">
        <v>0</v>
      </c>
      <c r="AU75" s="142">
        <v>0</v>
      </c>
      <c r="AV75" s="142">
        <v>0</v>
      </c>
      <c r="AW75" s="142">
        <v>0</v>
      </c>
      <c r="AX75" s="142">
        <v>0</v>
      </c>
      <c r="AY75" s="142">
        <v>0</v>
      </c>
      <c r="AZ75" s="142">
        <v>0</v>
      </c>
      <c r="BA75" s="142">
        <v>0</v>
      </c>
      <c r="BB75" s="142">
        <v>0</v>
      </c>
    </row>
    <row r="76" spans="8:54">
      <c r="H76" s="142">
        <v>0</v>
      </c>
      <c r="I76" s="14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>
        <v>0</v>
      </c>
      <c r="R76" s="142">
        <v>0</v>
      </c>
      <c r="S76" s="142">
        <v>0</v>
      </c>
      <c r="T76" s="142">
        <v>0</v>
      </c>
      <c r="U76" s="142">
        <v>0</v>
      </c>
      <c r="V76" s="143">
        <v>1</v>
      </c>
      <c r="W76" s="142">
        <v>0</v>
      </c>
      <c r="X76" s="142">
        <v>0</v>
      </c>
      <c r="Y76" s="146">
        <v>4</v>
      </c>
      <c r="Z76" s="143">
        <v>1</v>
      </c>
      <c r="AA76" s="142">
        <v>0</v>
      </c>
      <c r="AB76" s="147">
        <v>5</v>
      </c>
      <c r="AC76" s="145">
        <v>3</v>
      </c>
      <c r="AD76" s="148">
        <v>6</v>
      </c>
      <c r="AE76" s="142">
        <v>0</v>
      </c>
      <c r="AF76" s="142">
        <v>0</v>
      </c>
      <c r="AG76" s="142">
        <v>0</v>
      </c>
      <c r="AH76" s="142">
        <v>0</v>
      </c>
      <c r="AI76" s="146">
        <v>4</v>
      </c>
      <c r="AJ76" s="142">
        <v>0</v>
      </c>
      <c r="AK76" s="146">
        <v>4</v>
      </c>
      <c r="AL76" s="142">
        <v>0</v>
      </c>
      <c r="AM76" s="142">
        <v>0</v>
      </c>
      <c r="AN76" s="142">
        <v>0</v>
      </c>
      <c r="AO76" s="142">
        <v>0</v>
      </c>
      <c r="AP76" s="143">
        <v>1</v>
      </c>
      <c r="AQ76" s="142">
        <v>0</v>
      </c>
      <c r="AR76" s="144">
        <v>2</v>
      </c>
      <c r="AS76" s="142">
        <v>0</v>
      </c>
      <c r="AT76" s="146">
        <v>4</v>
      </c>
      <c r="AU76" s="147">
        <v>5</v>
      </c>
      <c r="AV76" s="142">
        <v>0</v>
      </c>
      <c r="AW76" s="142">
        <v>0</v>
      </c>
      <c r="AX76" s="142">
        <v>0</v>
      </c>
      <c r="AY76" s="142">
        <v>0</v>
      </c>
      <c r="AZ76" s="143">
        <v>1</v>
      </c>
      <c r="BA76" s="142">
        <v>0</v>
      </c>
      <c r="BB76" s="146">
        <v>4</v>
      </c>
    </row>
    <row r="77" spans="8:54"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3">
        <v>1</v>
      </c>
      <c r="W77" s="142">
        <v>0</v>
      </c>
      <c r="X77" s="142">
        <v>0</v>
      </c>
      <c r="Y77" s="146">
        <v>4</v>
      </c>
      <c r="Z77" s="143">
        <v>1</v>
      </c>
      <c r="AA77" s="142">
        <v>0</v>
      </c>
      <c r="AB77" s="147">
        <v>5</v>
      </c>
      <c r="AC77" s="145">
        <v>3</v>
      </c>
      <c r="AD77" s="148">
        <v>6</v>
      </c>
      <c r="AE77" s="142">
        <v>0</v>
      </c>
      <c r="AF77" s="142">
        <v>0</v>
      </c>
      <c r="AG77" s="142">
        <v>0</v>
      </c>
      <c r="AH77" s="142">
        <v>0</v>
      </c>
      <c r="AI77" s="146">
        <v>4</v>
      </c>
      <c r="AJ77" s="142">
        <v>0</v>
      </c>
      <c r="AK77" s="146">
        <v>4</v>
      </c>
      <c r="AL77" s="142">
        <v>0</v>
      </c>
      <c r="AM77" s="142">
        <v>0</v>
      </c>
      <c r="AN77" s="142">
        <v>0</v>
      </c>
      <c r="AO77" s="142">
        <v>0</v>
      </c>
      <c r="AP77" s="143">
        <v>1</v>
      </c>
      <c r="AQ77" s="142">
        <v>0</v>
      </c>
      <c r="AR77" s="144">
        <v>2</v>
      </c>
      <c r="AS77" s="142">
        <v>0</v>
      </c>
      <c r="AT77" s="146">
        <v>4</v>
      </c>
      <c r="AU77" s="146">
        <v>4</v>
      </c>
      <c r="AV77" s="142">
        <v>0</v>
      </c>
      <c r="AW77" s="142">
        <v>0</v>
      </c>
      <c r="AX77" s="142">
        <v>0</v>
      </c>
      <c r="AY77" s="142">
        <v>0</v>
      </c>
      <c r="AZ77" s="142">
        <v>0</v>
      </c>
      <c r="BA77" s="142">
        <v>0</v>
      </c>
      <c r="BB77" s="146">
        <v>4</v>
      </c>
    </row>
    <row r="78" spans="8:54"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2">
        <v>0</v>
      </c>
      <c r="P78" s="143">
        <v>1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5">
        <v>3</v>
      </c>
      <c r="Z78" s="142">
        <v>0</v>
      </c>
      <c r="AA78" s="142">
        <v>0</v>
      </c>
      <c r="AB78" s="146">
        <v>4</v>
      </c>
      <c r="AC78" s="144">
        <v>2</v>
      </c>
      <c r="AD78" s="146">
        <v>4</v>
      </c>
      <c r="AE78" s="142">
        <v>0</v>
      </c>
      <c r="AF78" s="142">
        <v>0</v>
      </c>
      <c r="AG78" s="142">
        <v>0</v>
      </c>
      <c r="AH78" s="142">
        <v>0</v>
      </c>
      <c r="AI78" s="146">
        <v>4</v>
      </c>
      <c r="AJ78" s="142">
        <v>0</v>
      </c>
      <c r="AK78" s="146">
        <v>4</v>
      </c>
      <c r="AL78" s="142">
        <v>0</v>
      </c>
      <c r="AM78" s="142">
        <v>0</v>
      </c>
      <c r="AN78" s="142">
        <v>0</v>
      </c>
      <c r="AO78" s="142">
        <v>0</v>
      </c>
      <c r="AP78" s="143">
        <v>1</v>
      </c>
      <c r="AQ78" s="142">
        <v>0</v>
      </c>
      <c r="AR78" s="144">
        <v>2</v>
      </c>
      <c r="AS78" s="142">
        <v>0</v>
      </c>
      <c r="AT78" s="146">
        <v>4</v>
      </c>
      <c r="AU78" s="146">
        <v>4</v>
      </c>
      <c r="AV78" s="142">
        <v>0</v>
      </c>
      <c r="AW78" s="142">
        <v>0</v>
      </c>
      <c r="AX78" s="142">
        <v>0</v>
      </c>
      <c r="AY78" s="142">
        <v>0</v>
      </c>
      <c r="AZ78" s="142">
        <v>0</v>
      </c>
      <c r="BA78" s="142">
        <v>0</v>
      </c>
      <c r="BB78" s="146">
        <v>4</v>
      </c>
    </row>
    <row r="79" spans="8:54">
      <c r="H79" s="142">
        <v>0</v>
      </c>
      <c r="I79" s="14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3">
        <v>1</v>
      </c>
      <c r="Q79" s="142">
        <v>0</v>
      </c>
      <c r="R79" s="143">
        <v>1</v>
      </c>
      <c r="S79" s="142">
        <v>0</v>
      </c>
      <c r="T79" s="142">
        <v>0</v>
      </c>
      <c r="U79" s="142">
        <v>0</v>
      </c>
      <c r="V79" s="142">
        <v>0</v>
      </c>
      <c r="W79" s="142">
        <v>0</v>
      </c>
      <c r="X79" s="142">
        <v>0</v>
      </c>
      <c r="Y79" s="144">
        <v>2</v>
      </c>
      <c r="Z79" s="142">
        <v>0</v>
      </c>
      <c r="AA79" s="142">
        <v>0</v>
      </c>
      <c r="AB79" s="146">
        <v>4</v>
      </c>
      <c r="AC79" s="144">
        <v>2</v>
      </c>
      <c r="AD79" s="146">
        <v>4</v>
      </c>
      <c r="AE79" s="142">
        <v>0</v>
      </c>
      <c r="AF79" s="142">
        <v>0</v>
      </c>
      <c r="AG79" s="142">
        <v>0</v>
      </c>
      <c r="AH79" s="142">
        <v>0</v>
      </c>
      <c r="AI79" s="146">
        <v>4</v>
      </c>
      <c r="AJ79" s="142">
        <v>0</v>
      </c>
      <c r="AK79" s="146">
        <v>4</v>
      </c>
      <c r="AL79" s="142">
        <v>0</v>
      </c>
      <c r="AM79" s="142">
        <v>0</v>
      </c>
      <c r="AN79" s="142">
        <v>0</v>
      </c>
      <c r="AO79" s="142">
        <v>0</v>
      </c>
      <c r="AP79" s="143">
        <v>1</v>
      </c>
      <c r="AQ79" s="142">
        <v>0</v>
      </c>
      <c r="AR79" s="144">
        <v>2</v>
      </c>
      <c r="AS79" s="142">
        <v>0</v>
      </c>
      <c r="AT79" s="146">
        <v>4</v>
      </c>
      <c r="AU79" s="147">
        <v>5</v>
      </c>
      <c r="AV79" s="142">
        <v>0</v>
      </c>
      <c r="AW79" s="142">
        <v>0</v>
      </c>
      <c r="AX79" s="142">
        <v>0</v>
      </c>
      <c r="AY79" s="142">
        <v>0</v>
      </c>
      <c r="AZ79" s="142">
        <v>0</v>
      </c>
      <c r="BA79" s="142">
        <v>0</v>
      </c>
      <c r="BB79" s="146">
        <v>4</v>
      </c>
    </row>
    <row r="80" spans="8:54"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2">
        <v>0</v>
      </c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3">
        <v>1</v>
      </c>
      <c r="V80" s="143">
        <v>1</v>
      </c>
      <c r="W80" s="142">
        <v>0</v>
      </c>
      <c r="X80" s="142">
        <v>0</v>
      </c>
      <c r="Y80" s="143">
        <v>1</v>
      </c>
      <c r="Z80" s="143">
        <v>1</v>
      </c>
      <c r="AA80" s="143">
        <v>1</v>
      </c>
      <c r="AB80" s="148">
        <v>6</v>
      </c>
      <c r="AC80" s="144">
        <v>2</v>
      </c>
      <c r="AD80" s="148">
        <v>6</v>
      </c>
      <c r="AE80" s="142">
        <v>0</v>
      </c>
      <c r="AF80" s="142">
        <v>0</v>
      </c>
      <c r="AG80" s="142">
        <v>0</v>
      </c>
      <c r="AH80" s="142">
        <v>0</v>
      </c>
      <c r="AI80" s="146">
        <v>4</v>
      </c>
      <c r="AJ80" s="142">
        <v>0</v>
      </c>
      <c r="AK80" s="146">
        <v>4</v>
      </c>
      <c r="AL80" s="142">
        <v>0</v>
      </c>
      <c r="AM80" s="142">
        <v>0</v>
      </c>
      <c r="AN80" s="142">
        <v>0</v>
      </c>
      <c r="AO80" s="142">
        <v>0</v>
      </c>
      <c r="AP80" s="143">
        <v>1</v>
      </c>
      <c r="AQ80" s="142">
        <v>0</v>
      </c>
      <c r="AR80" s="144">
        <v>2</v>
      </c>
      <c r="AS80" s="142">
        <v>0</v>
      </c>
      <c r="AT80" s="147">
        <v>5</v>
      </c>
      <c r="AU80" s="147">
        <v>5</v>
      </c>
      <c r="AV80" s="142">
        <v>0</v>
      </c>
      <c r="AW80" s="142">
        <v>0</v>
      </c>
      <c r="AX80" s="142">
        <v>0</v>
      </c>
      <c r="AY80" s="142">
        <v>0</v>
      </c>
      <c r="AZ80" s="143">
        <v>1</v>
      </c>
      <c r="BA80" s="142">
        <v>0</v>
      </c>
      <c r="BB80" s="145">
        <v>3</v>
      </c>
    </row>
    <row r="81" spans="8:54"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2">
        <v>0</v>
      </c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3">
        <v>1</v>
      </c>
      <c r="Z81" s="142">
        <v>0</v>
      </c>
      <c r="AA81" s="143">
        <v>1</v>
      </c>
      <c r="AB81" s="147">
        <v>5</v>
      </c>
      <c r="AC81" s="144">
        <v>2</v>
      </c>
      <c r="AD81" s="147">
        <v>5</v>
      </c>
      <c r="AE81" s="142">
        <v>0</v>
      </c>
      <c r="AF81" s="142">
        <v>0</v>
      </c>
      <c r="AG81" s="142">
        <v>0</v>
      </c>
      <c r="AH81" s="142">
        <v>0</v>
      </c>
      <c r="AI81" s="146">
        <v>4</v>
      </c>
      <c r="AJ81" s="142">
        <v>0</v>
      </c>
      <c r="AK81" s="146">
        <v>4</v>
      </c>
      <c r="AL81" s="142">
        <v>0</v>
      </c>
      <c r="AM81" s="142">
        <v>0</v>
      </c>
      <c r="AN81" s="142">
        <v>0</v>
      </c>
      <c r="AO81" s="142">
        <v>0</v>
      </c>
      <c r="AP81" s="143">
        <v>1</v>
      </c>
      <c r="AQ81" s="142">
        <v>0</v>
      </c>
      <c r="AR81" s="144">
        <v>2</v>
      </c>
      <c r="AS81" s="142">
        <v>0</v>
      </c>
      <c r="AT81" s="147">
        <v>5</v>
      </c>
      <c r="AU81" s="145">
        <v>3</v>
      </c>
      <c r="AV81" s="142">
        <v>0</v>
      </c>
      <c r="AW81" s="142">
        <v>0</v>
      </c>
      <c r="AX81" s="142">
        <v>0</v>
      </c>
      <c r="AY81" s="142">
        <v>0</v>
      </c>
      <c r="AZ81" s="142">
        <v>0</v>
      </c>
      <c r="BA81" s="142">
        <v>0</v>
      </c>
      <c r="BB81" s="145">
        <v>3</v>
      </c>
    </row>
    <row r="82" spans="8:54"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2">
        <v>0</v>
      </c>
      <c r="AA82" s="142">
        <v>0</v>
      </c>
      <c r="AB82" s="144">
        <v>2</v>
      </c>
      <c r="AC82" s="143">
        <v>1</v>
      </c>
      <c r="AD82" s="144">
        <v>2</v>
      </c>
      <c r="AE82" s="142">
        <v>0</v>
      </c>
      <c r="AF82" s="142">
        <v>0</v>
      </c>
      <c r="AG82" s="142">
        <v>0</v>
      </c>
      <c r="AH82" s="142">
        <v>0</v>
      </c>
      <c r="AI82" s="145">
        <v>3</v>
      </c>
      <c r="AJ82" s="142">
        <v>0</v>
      </c>
      <c r="AK82" s="146">
        <v>4</v>
      </c>
      <c r="AL82" s="142">
        <v>0</v>
      </c>
      <c r="AM82" s="142">
        <v>0</v>
      </c>
      <c r="AN82" s="142">
        <v>0</v>
      </c>
      <c r="AO82" s="142">
        <v>0</v>
      </c>
      <c r="AP82" s="143">
        <v>1</v>
      </c>
      <c r="AQ82" s="142">
        <v>0</v>
      </c>
      <c r="AR82" s="144">
        <v>2</v>
      </c>
      <c r="AS82" s="142">
        <v>0</v>
      </c>
      <c r="AT82" s="146">
        <v>4</v>
      </c>
      <c r="AU82" s="146">
        <v>4</v>
      </c>
      <c r="AV82" s="142">
        <v>0</v>
      </c>
      <c r="AW82" s="142">
        <v>0</v>
      </c>
      <c r="AX82" s="142">
        <v>0</v>
      </c>
      <c r="AY82" s="142">
        <v>0</v>
      </c>
      <c r="AZ82" s="142">
        <v>0</v>
      </c>
      <c r="BA82" s="142">
        <v>0</v>
      </c>
      <c r="BB82" s="144">
        <v>2</v>
      </c>
    </row>
    <row r="83" spans="8:54"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2">
        <v>0</v>
      </c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2">
        <v>0</v>
      </c>
      <c r="AA83" s="142">
        <v>0</v>
      </c>
      <c r="AB83" s="143">
        <v>1</v>
      </c>
      <c r="AC83" s="142">
        <v>0</v>
      </c>
      <c r="AD83" s="144">
        <v>2</v>
      </c>
      <c r="AE83" s="142">
        <v>0</v>
      </c>
      <c r="AF83" s="142">
        <v>0</v>
      </c>
      <c r="AG83" s="142">
        <v>0</v>
      </c>
      <c r="AH83" s="142">
        <v>0</v>
      </c>
      <c r="AI83" s="146">
        <v>4</v>
      </c>
      <c r="AJ83" s="142">
        <v>0</v>
      </c>
      <c r="AK83" s="145">
        <v>3</v>
      </c>
      <c r="AL83" s="142">
        <v>0</v>
      </c>
      <c r="AM83" s="142">
        <v>0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0</v>
      </c>
      <c r="AT83" s="145">
        <v>3</v>
      </c>
      <c r="AU83" s="143">
        <v>1</v>
      </c>
      <c r="AV83" s="142">
        <v>0</v>
      </c>
      <c r="AW83" s="142">
        <v>0</v>
      </c>
      <c r="AX83" s="142">
        <v>0</v>
      </c>
      <c r="AY83" s="142">
        <v>0</v>
      </c>
      <c r="AZ83" s="142">
        <v>0</v>
      </c>
      <c r="BA83" s="142">
        <v>0</v>
      </c>
      <c r="BB83" s="142">
        <v>0</v>
      </c>
    </row>
    <row r="84" spans="8:54"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3">
        <v>1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</row>
    <row r="85" spans="8:54"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  <c r="AK85" s="142">
        <v>0</v>
      </c>
      <c r="AL85" s="142">
        <v>0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0</v>
      </c>
      <c r="AS85" s="142">
        <v>0</v>
      </c>
      <c r="AT85" s="142">
        <v>0</v>
      </c>
      <c r="AU85" s="143">
        <v>1</v>
      </c>
      <c r="AV85" s="142">
        <v>0</v>
      </c>
      <c r="AW85" s="142">
        <v>0</v>
      </c>
      <c r="AX85" s="142">
        <v>0</v>
      </c>
      <c r="AY85" s="142">
        <v>0</v>
      </c>
      <c r="AZ85" s="142">
        <v>0</v>
      </c>
      <c r="BA85" s="142">
        <v>0</v>
      </c>
      <c r="BB85" s="142">
        <v>0</v>
      </c>
    </row>
    <row r="86" spans="8:54">
      <c r="H86" s="142">
        <v>0</v>
      </c>
      <c r="I86" s="142">
        <v>0</v>
      </c>
      <c r="J86" s="142">
        <v>0</v>
      </c>
      <c r="K86" s="142">
        <v>0</v>
      </c>
      <c r="L86" s="142">
        <v>0</v>
      </c>
      <c r="M86" s="142">
        <v>0</v>
      </c>
      <c r="N86" s="142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3">
        <v>1</v>
      </c>
      <c r="V86" s="143">
        <v>1</v>
      </c>
      <c r="W86" s="142">
        <v>0</v>
      </c>
      <c r="X86" s="142">
        <v>0</v>
      </c>
      <c r="Y86" s="142">
        <v>0</v>
      </c>
      <c r="Z86" s="143">
        <v>1</v>
      </c>
      <c r="AA86" s="142">
        <v>0</v>
      </c>
      <c r="AB86" s="143">
        <v>1</v>
      </c>
      <c r="AC86" s="143">
        <v>1</v>
      </c>
      <c r="AD86" s="142">
        <v>0</v>
      </c>
      <c r="AE86" s="142">
        <v>0</v>
      </c>
      <c r="AF86" s="142">
        <v>0</v>
      </c>
      <c r="AG86" s="142">
        <v>0</v>
      </c>
      <c r="AH86" s="142">
        <v>0</v>
      </c>
      <c r="AI86" s="142">
        <v>0</v>
      </c>
      <c r="AJ86" s="142">
        <v>0</v>
      </c>
      <c r="AK86" s="142">
        <v>0</v>
      </c>
      <c r="AL86" s="142">
        <v>0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0</v>
      </c>
      <c r="AS86" s="142">
        <v>0</v>
      </c>
      <c r="AT86" s="144">
        <v>2</v>
      </c>
      <c r="AU86" s="143">
        <v>1</v>
      </c>
      <c r="AV86" s="142">
        <v>0</v>
      </c>
      <c r="AW86" s="142">
        <v>0</v>
      </c>
      <c r="AX86" s="142">
        <v>0</v>
      </c>
      <c r="AY86" s="142">
        <v>0</v>
      </c>
      <c r="AZ86" s="142">
        <v>0</v>
      </c>
      <c r="BA86" s="143">
        <v>1</v>
      </c>
      <c r="BB86" s="143">
        <v>1</v>
      </c>
    </row>
    <row r="87" spans="8:54">
      <c r="H87" s="142">
        <v>0</v>
      </c>
      <c r="I87" s="142">
        <v>0</v>
      </c>
      <c r="J87" s="142">
        <v>0</v>
      </c>
      <c r="K87" s="142">
        <v>0</v>
      </c>
      <c r="L87" s="142">
        <v>0</v>
      </c>
      <c r="M87" s="142">
        <v>0</v>
      </c>
      <c r="N87" s="142">
        <v>0</v>
      </c>
      <c r="O87" s="143">
        <v>1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2">
        <v>0</v>
      </c>
      <c r="V87" s="142">
        <v>0</v>
      </c>
      <c r="W87" s="142">
        <v>0</v>
      </c>
      <c r="X87" s="142">
        <v>0</v>
      </c>
      <c r="Y87" s="142">
        <v>0</v>
      </c>
      <c r="Z87" s="142">
        <v>0</v>
      </c>
      <c r="AA87" s="142">
        <v>0</v>
      </c>
      <c r="AB87" s="144">
        <v>2</v>
      </c>
      <c r="AC87" s="142">
        <v>0</v>
      </c>
      <c r="AD87" s="142">
        <v>0</v>
      </c>
      <c r="AE87" s="142">
        <v>0</v>
      </c>
      <c r="AF87" s="143">
        <v>1</v>
      </c>
      <c r="AG87" s="143">
        <v>1</v>
      </c>
      <c r="AH87" s="143">
        <v>1</v>
      </c>
      <c r="AI87" s="145">
        <v>3</v>
      </c>
      <c r="AJ87" s="142">
        <v>0</v>
      </c>
      <c r="AK87" s="146">
        <v>4</v>
      </c>
      <c r="AL87" s="143">
        <v>1</v>
      </c>
      <c r="AM87" s="143">
        <v>1</v>
      </c>
      <c r="AN87" s="142">
        <v>0</v>
      </c>
      <c r="AO87" s="142">
        <v>0</v>
      </c>
      <c r="AP87" s="142">
        <v>0</v>
      </c>
      <c r="AQ87" s="142">
        <v>0</v>
      </c>
      <c r="AR87" s="144">
        <v>2</v>
      </c>
      <c r="AS87" s="142">
        <v>0</v>
      </c>
      <c r="AT87" s="145">
        <v>3</v>
      </c>
      <c r="AU87" s="142">
        <v>0</v>
      </c>
      <c r="AV87" s="143">
        <v>1</v>
      </c>
      <c r="AW87" s="142">
        <v>0</v>
      </c>
      <c r="AX87" s="142">
        <v>0</v>
      </c>
      <c r="AY87" s="142">
        <v>0</v>
      </c>
      <c r="AZ87" s="142">
        <v>0</v>
      </c>
      <c r="BA87" s="142">
        <v>0</v>
      </c>
      <c r="BB87" s="142">
        <v>0</v>
      </c>
    </row>
    <row r="88" spans="8:54"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>
        <v>1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3">
        <v>1</v>
      </c>
      <c r="Z88" s="142">
        <v>0</v>
      </c>
      <c r="AA88" s="142">
        <v>0</v>
      </c>
      <c r="AB88" s="144">
        <v>2</v>
      </c>
      <c r="AC88" s="142">
        <v>0</v>
      </c>
      <c r="AD88" s="142">
        <v>0</v>
      </c>
      <c r="AE88" s="142">
        <v>0</v>
      </c>
      <c r="AF88" s="143">
        <v>1</v>
      </c>
      <c r="AG88" s="143">
        <v>1</v>
      </c>
      <c r="AH88" s="143">
        <v>1</v>
      </c>
      <c r="AI88" s="144">
        <v>2</v>
      </c>
      <c r="AJ88" s="142">
        <v>0</v>
      </c>
      <c r="AK88" s="146">
        <v>4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6">
        <v>4</v>
      </c>
      <c r="AU88" s="142">
        <v>0</v>
      </c>
      <c r="AV88" s="143">
        <v>1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  <c r="BB88" s="142">
        <v>0</v>
      </c>
    </row>
    <row r="89" spans="8:54">
      <c r="H89" s="143">
        <v>1</v>
      </c>
      <c r="I89" s="143">
        <v>1</v>
      </c>
      <c r="J89" s="143">
        <v>1</v>
      </c>
      <c r="K89" s="143">
        <v>1</v>
      </c>
      <c r="L89" s="143">
        <v>1</v>
      </c>
      <c r="M89" s="143">
        <v>1</v>
      </c>
      <c r="N89" s="142">
        <v>0</v>
      </c>
      <c r="O89" s="143">
        <v>1</v>
      </c>
      <c r="P89" s="143">
        <v>1</v>
      </c>
      <c r="Q89" s="143">
        <v>1</v>
      </c>
      <c r="R89" s="143">
        <v>1</v>
      </c>
      <c r="S89" s="143">
        <v>1</v>
      </c>
      <c r="T89" s="142">
        <v>0</v>
      </c>
      <c r="U89" s="142">
        <v>0</v>
      </c>
      <c r="V89" s="142">
        <v>0</v>
      </c>
      <c r="W89" s="143">
        <v>1</v>
      </c>
      <c r="X89" s="143">
        <v>1</v>
      </c>
      <c r="Y89" s="143">
        <v>1</v>
      </c>
      <c r="Z89" s="142">
        <v>0</v>
      </c>
      <c r="AA89" s="147">
        <v>5</v>
      </c>
      <c r="AB89" s="145">
        <v>3</v>
      </c>
      <c r="AC89" s="143">
        <v>1</v>
      </c>
      <c r="AD89" s="143">
        <v>1</v>
      </c>
      <c r="AE89" s="143">
        <v>1</v>
      </c>
      <c r="AF89" s="143">
        <v>1</v>
      </c>
      <c r="AG89" s="143">
        <v>1</v>
      </c>
      <c r="AH89" s="143">
        <v>1</v>
      </c>
      <c r="AI89" s="146">
        <v>4</v>
      </c>
      <c r="AJ89" s="142">
        <v>0</v>
      </c>
      <c r="AK89" s="146">
        <v>4</v>
      </c>
      <c r="AL89" s="143">
        <v>1</v>
      </c>
      <c r="AM89" s="142">
        <v>0</v>
      </c>
      <c r="AN89" s="142">
        <v>0</v>
      </c>
      <c r="AO89" s="143">
        <v>1</v>
      </c>
      <c r="AP89" s="146">
        <v>4</v>
      </c>
      <c r="AQ89" s="143">
        <v>1</v>
      </c>
      <c r="AR89" s="145">
        <v>3</v>
      </c>
      <c r="AS89" s="143">
        <v>1</v>
      </c>
      <c r="AT89" s="146">
        <v>4</v>
      </c>
      <c r="AU89" s="143">
        <v>1</v>
      </c>
      <c r="AV89" s="143">
        <v>1</v>
      </c>
      <c r="AW89" s="142">
        <v>0</v>
      </c>
      <c r="AX89" s="143">
        <v>1</v>
      </c>
      <c r="AY89" s="143">
        <v>1</v>
      </c>
      <c r="AZ89" s="142">
        <v>0</v>
      </c>
      <c r="BA89" s="143">
        <v>1</v>
      </c>
      <c r="BB89" s="143">
        <v>1</v>
      </c>
    </row>
    <row r="90" spans="8:54"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6">
        <v>4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  <c r="BB90" s="142">
        <v>0</v>
      </c>
    </row>
    <row r="91" spans="8:54"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3">
        <v>1</v>
      </c>
      <c r="AI91" s="142">
        <v>0</v>
      </c>
      <c r="AJ91" s="142">
        <v>0</v>
      </c>
      <c r="AK91" s="142">
        <v>0</v>
      </c>
      <c r="AL91" s="142">
        <v>0</v>
      </c>
      <c r="AM91" s="142">
        <v>0</v>
      </c>
      <c r="AN91" s="142">
        <v>0</v>
      </c>
      <c r="AO91" s="142">
        <v>0</v>
      </c>
      <c r="AP91" s="142">
        <v>0</v>
      </c>
      <c r="AQ91" s="142">
        <v>0</v>
      </c>
      <c r="AR91" s="142">
        <v>0</v>
      </c>
      <c r="AS91" s="142">
        <v>0</v>
      </c>
      <c r="AT91" s="142">
        <v>0</v>
      </c>
      <c r="AU91" s="146">
        <v>4</v>
      </c>
      <c r="AV91" s="142">
        <v>0</v>
      </c>
      <c r="AW91" s="142">
        <v>0</v>
      </c>
      <c r="AX91" s="142">
        <v>0</v>
      </c>
      <c r="AY91" s="142">
        <v>0</v>
      </c>
      <c r="AZ91" s="142">
        <v>0</v>
      </c>
      <c r="BA91" s="142">
        <v>0</v>
      </c>
      <c r="BB91" s="143">
        <v>1</v>
      </c>
    </row>
    <row r="92" spans="8:54"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  <c r="AK92" s="142">
        <v>0</v>
      </c>
      <c r="AL92" s="142">
        <v>0</v>
      </c>
      <c r="AM92" s="142">
        <v>0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0</v>
      </c>
      <c r="AT92" s="142">
        <v>0</v>
      </c>
      <c r="AU92" s="146">
        <v>4</v>
      </c>
      <c r="AV92" s="142">
        <v>0</v>
      </c>
      <c r="AW92" s="142">
        <v>0</v>
      </c>
      <c r="AX92" s="142">
        <v>0</v>
      </c>
      <c r="AY92" s="142">
        <v>0</v>
      </c>
      <c r="AZ92" s="142">
        <v>0</v>
      </c>
      <c r="BA92" s="142">
        <v>0</v>
      </c>
      <c r="BB92" s="142">
        <v>0</v>
      </c>
    </row>
    <row r="93" spans="8:54"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2">
        <v>0</v>
      </c>
      <c r="P93" s="142">
        <v>0</v>
      </c>
      <c r="Q93" s="143">
        <v>1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3">
        <v>1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6">
        <v>4</v>
      </c>
      <c r="AV93" s="142">
        <v>0</v>
      </c>
      <c r="AW93" s="142">
        <v>0</v>
      </c>
      <c r="AX93" s="142">
        <v>0</v>
      </c>
      <c r="AY93" s="142">
        <v>0</v>
      </c>
      <c r="AZ93" s="142">
        <v>0</v>
      </c>
      <c r="BA93" s="142">
        <v>0</v>
      </c>
      <c r="BB93" s="142">
        <v>0</v>
      </c>
    </row>
    <row r="94" spans="8:54">
      <c r="H94" s="143">
        <v>1</v>
      </c>
      <c r="I94" s="143">
        <v>1</v>
      </c>
      <c r="J94" s="142">
        <v>0</v>
      </c>
      <c r="K94" s="143">
        <v>1</v>
      </c>
      <c r="L94" s="143">
        <v>1</v>
      </c>
      <c r="M94" s="143">
        <v>1</v>
      </c>
      <c r="N94" s="143">
        <v>1</v>
      </c>
      <c r="O94" s="143">
        <v>1</v>
      </c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2">
        <v>0</v>
      </c>
      <c r="AA94" s="142">
        <v>0</v>
      </c>
      <c r="AB94" s="144">
        <v>2</v>
      </c>
      <c r="AC94" s="145">
        <v>3</v>
      </c>
      <c r="AD94" s="142">
        <v>0</v>
      </c>
      <c r="AE94" s="143">
        <v>1</v>
      </c>
      <c r="AF94" s="143">
        <v>1</v>
      </c>
      <c r="AG94" s="143">
        <v>1</v>
      </c>
      <c r="AH94" s="142">
        <v>0</v>
      </c>
      <c r="AI94" s="143">
        <v>1</v>
      </c>
      <c r="AJ94" s="142">
        <v>0</v>
      </c>
      <c r="AK94" s="145">
        <v>3</v>
      </c>
      <c r="AL94" s="143">
        <v>1</v>
      </c>
      <c r="AM94" s="142">
        <v>0</v>
      </c>
      <c r="AN94" s="142">
        <v>0</v>
      </c>
      <c r="AO94" s="143">
        <v>1</v>
      </c>
      <c r="AP94" s="142">
        <v>0</v>
      </c>
      <c r="AQ94" s="142">
        <v>0</v>
      </c>
      <c r="AR94" s="142">
        <v>0</v>
      </c>
      <c r="AS94" s="142">
        <v>0</v>
      </c>
      <c r="AT94" s="143">
        <v>1</v>
      </c>
      <c r="AU94" s="142">
        <v>0</v>
      </c>
      <c r="AV94" s="143">
        <v>1</v>
      </c>
      <c r="AW94" s="142">
        <v>0</v>
      </c>
      <c r="AX94" s="142">
        <v>0</v>
      </c>
      <c r="AY94" s="142">
        <v>0</v>
      </c>
      <c r="AZ94" s="147">
        <v>5</v>
      </c>
      <c r="BA94" s="143">
        <v>1</v>
      </c>
      <c r="BB94" s="142">
        <v>0</v>
      </c>
    </row>
    <row r="95" spans="8:54">
      <c r="H95" s="143">
        <v>1</v>
      </c>
      <c r="I95" s="143">
        <v>1</v>
      </c>
      <c r="J95" s="142">
        <v>0</v>
      </c>
      <c r="K95" s="143">
        <v>1</v>
      </c>
      <c r="L95" s="143">
        <v>1</v>
      </c>
      <c r="M95" s="143">
        <v>1</v>
      </c>
      <c r="N95" s="143">
        <v>1</v>
      </c>
      <c r="O95" s="143">
        <v>1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2">
        <v>0</v>
      </c>
      <c r="AA95" s="142">
        <v>0</v>
      </c>
      <c r="AB95" s="143">
        <v>1</v>
      </c>
      <c r="AC95" s="144">
        <v>2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  <c r="AK95" s="145">
        <v>3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142">
        <v>0</v>
      </c>
      <c r="AZ95" s="146">
        <v>4</v>
      </c>
      <c r="BA95" s="142">
        <v>0</v>
      </c>
      <c r="BB95" s="142">
        <v>0</v>
      </c>
    </row>
    <row r="96" spans="8:54">
      <c r="H96" s="143">
        <v>1</v>
      </c>
      <c r="I96" s="143">
        <v>1</v>
      </c>
      <c r="J96" s="142">
        <v>0</v>
      </c>
      <c r="K96" s="143">
        <v>1</v>
      </c>
      <c r="L96" s="143">
        <v>1</v>
      </c>
      <c r="M96" s="143">
        <v>1</v>
      </c>
      <c r="N96" s="143">
        <v>1</v>
      </c>
      <c r="O96" s="143">
        <v>1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2">
        <v>0</v>
      </c>
      <c r="AA96" s="142">
        <v>0</v>
      </c>
      <c r="AB96" s="144">
        <v>2</v>
      </c>
      <c r="AC96" s="145">
        <v>3</v>
      </c>
      <c r="AD96" s="142">
        <v>0</v>
      </c>
      <c r="AE96" s="143">
        <v>1</v>
      </c>
      <c r="AF96" s="143">
        <v>1</v>
      </c>
      <c r="AG96" s="143">
        <v>1</v>
      </c>
      <c r="AH96" s="142">
        <v>0</v>
      </c>
      <c r="AI96" s="143">
        <v>1</v>
      </c>
      <c r="AJ96" s="142">
        <v>0</v>
      </c>
      <c r="AK96" s="145">
        <v>3</v>
      </c>
      <c r="AL96" s="143">
        <v>1</v>
      </c>
      <c r="AM96" s="142">
        <v>0</v>
      </c>
      <c r="AN96" s="142">
        <v>0</v>
      </c>
      <c r="AO96" s="143">
        <v>1</v>
      </c>
      <c r="AP96" s="142">
        <v>0</v>
      </c>
      <c r="AQ96" s="142">
        <v>0</v>
      </c>
      <c r="AR96" s="142">
        <v>0</v>
      </c>
      <c r="AS96" s="142">
        <v>0</v>
      </c>
      <c r="AT96" s="143">
        <v>1</v>
      </c>
      <c r="AU96" s="142">
        <v>0</v>
      </c>
      <c r="AV96" s="143">
        <v>1</v>
      </c>
      <c r="AW96" s="142">
        <v>0</v>
      </c>
      <c r="AX96" s="142">
        <v>0</v>
      </c>
      <c r="AY96" s="142">
        <v>0</v>
      </c>
      <c r="AZ96" s="147">
        <v>5</v>
      </c>
      <c r="BA96" s="143">
        <v>1</v>
      </c>
      <c r="BB96" s="142">
        <v>0</v>
      </c>
    </row>
    <row r="97" spans="8:54">
      <c r="H97" s="143">
        <v>1</v>
      </c>
      <c r="I97" s="143">
        <v>1</v>
      </c>
      <c r="J97" s="142">
        <v>0</v>
      </c>
      <c r="K97" s="143">
        <v>1</v>
      </c>
      <c r="L97" s="143">
        <v>1</v>
      </c>
      <c r="M97" s="143">
        <v>1</v>
      </c>
      <c r="N97" s="143">
        <v>1</v>
      </c>
      <c r="O97" s="143">
        <v>1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2">
        <v>0</v>
      </c>
      <c r="AA97" s="142">
        <v>0</v>
      </c>
      <c r="AB97" s="144">
        <v>2</v>
      </c>
      <c r="AC97" s="145">
        <v>3</v>
      </c>
      <c r="AD97" s="142">
        <v>0</v>
      </c>
      <c r="AE97" s="143">
        <v>1</v>
      </c>
      <c r="AF97" s="143">
        <v>1</v>
      </c>
      <c r="AG97" s="143">
        <v>1</v>
      </c>
      <c r="AH97" s="142">
        <v>0</v>
      </c>
      <c r="AI97" s="143">
        <v>1</v>
      </c>
      <c r="AJ97" s="142">
        <v>0</v>
      </c>
      <c r="AK97" s="145">
        <v>3</v>
      </c>
      <c r="AL97" s="143">
        <v>1</v>
      </c>
      <c r="AM97" s="142">
        <v>0</v>
      </c>
      <c r="AN97" s="142">
        <v>0</v>
      </c>
      <c r="AO97" s="143">
        <v>1</v>
      </c>
      <c r="AP97" s="142">
        <v>0</v>
      </c>
      <c r="AQ97" s="142">
        <v>0</v>
      </c>
      <c r="AR97" s="142">
        <v>0</v>
      </c>
      <c r="AS97" s="142">
        <v>0</v>
      </c>
      <c r="AT97" s="143">
        <v>1</v>
      </c>
      <c r="AU97" s="142">
        <v>0</v>
      </c>
      <c r="AV97" s="143">
        <v>1</v>
      </c>
      <c r="AW97" s="142">
        <v>0</v>
      </c>
      <c r="AX97" s="142">
        <v>0</v>
      </c>
      <c r="AY97" s="142">
        <v>0</v>
      </c>
      <c r="AZ97" s="146">
        <v>4</v>
      </c>
      <c r="BA97" s="143">
        <v>1</v>
      </c>
      <c r="BB97" s="142">
        <v>0</v>
      </c>
    </row>
    <row r="98" spans="8:54"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>
        <v>1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  <c r="AK98" s="143">
        <v>1</v>
      </c>
      <c r="AL98" s="142">
        <v>0</v>
      </c>
      <c r="AM98" s="142">
        <v>0</v>
      </c>
      <c r="AN98" s="142">
        <v>0</v>
      </c>
      <c r="AO98" s="143">
        <v>1</v>
      </c>
      <c r="AP98" s="142">
        <v>0</v>
      </c>
      <c r="AQ98" s="142">
        <v>0</v>
      </c>
      <c r="AR98" s="142">
        <v>0</v>
      </c>
      <c r="AS98" s="142">
        <v>0</v>
      </c>
      <c r="AT98" s="142">
        <v>0</v>
      </c>
      <c r="AU98" s="142">
        <v>0</v>
      </c>
      <c r="AV98" s="142">
        <v>0</v>
      </c>
      <c r="AW98" s="142">
        <v>0</v>
      </c>
      <c r="AX98" s="142">
        <v>0</v>
      </c>
      <c r="AY98" s="142">
        <v>0</v>
      </c>
      <c r="AZ98" s="143">
        <v>1</v>
      </c>
      <c r="BA98" s="142">
        <v>0</v>
      </c>
      <c r="BB98" s="142">
        <v>0</v>
      </c>
    </row>
    <row r="99" spans="8:54"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2">
        <v>0</v>
      </c>
      <c r="P99" s="143">
        <v>1</v>
      </c>
      <c r="Q99" s="142">
        <v>0</v>
      </c>
      <c r="R99" s="142">
        <v>0</v>
      </c>
      <c r="S99" s="142">
        <v>0</v>
      </c>
      <c r="T99" s="142">
        <v>0</v>
      </c>
      <c r="U99" s="143">
        <v>1</v>
      </c>
      <c r="V99" s="143">
        <v>1</v>
      </c>
      <c r="W99" s="142">
        <v>0</v>
      </c>
      <c r="X99" s="142">
        <v>0</v>
      </c>
      <c r="Y99" s="142">
        <v>0</v>
      </c>
      <c r="Z99" s="143">
        <v>1</v>
      </c>
      <c r="AA99" s="143">
        <v>1</v>
      </c>
      <c r="AB99" s="143">
        <v>1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  <c r="AK99" s="143">
        <v>1</v>
      </c>
      <c r="AL99" s="142">
        <v>0</v>
      </c>
      <c r="AM99" s="142">
        <v>0</v>
      </c>
      <c r="AN99" s="142">
        <v>0</v>
      </c>
      <c r="AO99" s="142">
        <v>0</v>
      </c>
      <c r="AP99" s="142">
        <v>0</v>
      </c>
      <c r="AQ99" s="142">
        <v>0</v>
      </c>
      <c r="AR99" s="142">
        <v>0</v>
      </c>
      <c r="AS99" s="142">
        <v>0</v>
      </c>
      <c r="AT99" s="142">
        <v>0</v>
      </c>
      <c r="AU99" s="143">
        <v>1</v>
      </c>
      <c r="AV99" s="142">
        <v>0</v>
      </c>
      <c r="AW99" s="142">
        <v>0</v>
      </c>
      <c r="AX99" s="142">
        <v>0</v>
      </c>
      <c r="AY99" s="142">
        <v>0</v>
      </c>
      <c r="AZ99" s="142">
        <v>0</v>
      </c>
      <c r="BA99" s="142">
        <v>0</v>
      </c>
      <c r="BB99" s="143">
        <v>1</v>
      </c>
    </row>
    <row r="100" spans="8:54">
      <c r="H100" s="142">
        <v>0</v>
      </c>
      <c r="I100" s="142">
        <v>0</v>
      </c>
      <c r="J100" s="142">
        <v>0</v>
      </c>
      <c r="K100" s="142">
        <v>0</v>
      </c>
      <c r="L100" s="142">
        <v>0</v>
      </c>
      <c r="M100" s="142">
        <v>0</v>
      </c>
      <c r="N100" s="142">
        <v>0</v>
      </c>
      <c r="O100" s="143">
        <v>1</v>
      </c>
      <c r="P100" s="143">
        <v>1</v>
      </c>
      <c r="Q100" s="142">
        <v>0</v>
      </c>
      <c r="R100" s="143">
        <v>1</v>
      </c>
      <c r="S100" s="142">
        <v>0</v>
      </c>
      <c r="T100" s="142">
        <v>0</v>
      </c>
      <c r="U100" s="142">
        <v>0</v>
      </c>
      <c r="V100" s="142">
        <v>0</v>
      </c>
      <c r="W100" s="142">
        <v>0</v>
      </c>
      <c r="X100" s="142">
        <v>0</v>
      </c>
      <c r="Y100" s="142">
        <v>0</v>
      </c>
      <c r="Z100" s="142">
        <v>0</v>
      </c>
      <c r="AA100" s="142">
        <v>0</v>
      </c>
      <c r="AB100" s="143">
        <v>1</v>
      </c>
      <c r="AC100" s="142">
        <v>0</v>
      </c>
      <c r="AD100" s="142">
        <v>0</v>
      </c>
      <c r="AE100" s="142">
        <v>0</v>
      </c>
      <c r="AF100" s="143">
        <v>1</v>
      </c>
      <c r="AG100" s="142">
        <v>0</v>
      </c>
      <c r="AH100" s="143">
        <v>1</v>
      </c>
      <c r="AI100" s="142">
        <v>0</v>
      </c>
      <c r="AJ100" s="142">
        <v>0</v>
      </c>
      <c r="AK100" s="142">
        <v>0</v>
      </c>
      <c r="AL100" s="142">
        <v>0</v>
      </c>
      <c r="AM100" s="142">
        <v>0</v>
      </c>
      <c r="AN100" s="142">
        <v>0</v>
      </c>
      <c r="AO100" s="142">
        <v>0</v>
      </c>
      <c r="AP100" s="142">
        <v>0</v>
      </c>
      <c r="AQ100" s="142">
        <v>0</v>
      </c>
      <c r="AR100" s="142">
        <v>0</v>
      </c>
      <c r="AS100" s="142">
        <v>0</v>
      </c>
      <c r="AT100" s="142">
        <v>0</v>
      </c>
      <c r="AU100" s="143">
        <v>1</v>
      </c>
      <c r="AV100" s="142">
        <v>0</v>
      </c>
      <c r="AW100" s="142">
        <v>0</v>
      </c>
      <c r="AX100" s="142">
        <v>0</v>
      </c>
      <c r="AY100" s="142">
        <v>0</v>
      </c>
      <c r="AZ100" s="142">
        <v>0</v>
      </c>
      <c r="BA100" s="142">
        <v>0</v>
      </c>
      <c r="BB100" s="142">
        <v>0</v>
      </c>
    </row>
    <row r="101" spans="8:54"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3">
        <v>1</v>
      </c>
      <c r="V101" s="143">
        <v>1</v>
      </c>
      <c r="W101" s="142">
        <v>0</v>
      </c>
      <c r="X101" s="142">
        <v>0</v>
      </c>
      <c r="Y101" s="142">
        <v>0</v>
      </c>
      <c r="Z101" s="143">
        <v>1</v>
      </c>
      <c r="AA101" s="143">
        <v>1</v>
      </c>
      <c r="AB101" s="144">
        <v>2</v>
      </c>
      <c r="AC101" s="144">
        <v>2</v>
      </c>
      <c r="AD101" s="144">
        <v>2</v>
      </c>
      <c r="AE101" s="142">
        <v>0</v>
      </c>
      <c r="AF101" s="142">
        <v>0</v>
      </c>
      <c r="AG101" s="142">
        <v>0</v>
      </c>
      <c r="AH101" s="142">
        <v>0</v>
      </c>
      <c r="AI101" s="142">
        <v>0</v>
      </c>
      <c r="AJ101" s="142">
        <v>0</v>
      </c>
      <c r="AK101" s="142">
        <v>0</v>
      </c>
      <c r="AL101" s="142">
        <v>0</v>
      </c>
      <c r="AM101" s="142">
        <v>0</v>
      </c>
      <c r="AN101" s="142">
        <v>0</v>
      </c>
      <c r="AO101" s="142">
        <v>0</v>
      </c>
      <c r="AP101" s="142">
        <v>0</v>
      </c>
      <c r="AQ101" s="142">
        <v>0</v>
      </c>
      <c r="AR101" s="142">
        <v>0</v>
      </c>
      <c r="AS101" s="142">
        <v>0</v>
      </c>
      <c r="AT101" s="146">
        <v>4</v>
      </c>
      <c r="AU101" s="142">
        <v>0</v>
      </c>
      <c r="AV101" s="142">
        <v>0</v>
      </c>
      <c r="AW101" s="142">
        <v>0</v>
      </c>
      <c r="AX101" s="142">
        <v>0</v>
      </c>
      <c r="AY101" s="142">
        <v>0</v>
      </c>
      <c r="AZ101" s="142">
        <v>0</v>
      </c>
      <c r="BA101" s="142">
        <v>0</v>
      </c>
      <c r="BB101" s="142">
        <v>0</v>
      </c>
    </row>
    <row r="102" spans="8:54"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2">
        <v>0</v>
      </c>
      <c r="AA102" s="142">
        <v>0</v>
      </c>
      <c r="AB102" s="143">
        <v>1</v>
      </c>
      <c r="AC102" s="143">
        <v>1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  <c r="AK102" s="143">
        <v>1</v>
      </c>
      <c r="AL102" s="142">
        <v>0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0</v>
      </c>
      <c r="AY102" s="142">
        <v>0</v>
      </c>
      <c r="AZ102" s="143">
        <v>1</v>
      </c>
      <c r="BA102" s="142">
        <v>0</v>
      </c>
      <c r="BB102" s="142">
        <v>0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E3315-5CBC-4AB9-A4ED-28707DE2A21F}">
  <dimension ref="A1:BH66"/>
  <sheetViews>
    <sheetView workbookViewId="0">
      <selection activeCell="A2" sqref="A2"/>
    </sheetView>
  </sheetViews>
  <sheetFormatPr baseColWidth="10" defaultColWidth="11.44140625" defaultRowHeight="14.4"/>
  <cols>
    <col min="1" max="46" width="3.6640625" bestFit="1" customWidth="1"/>
    <col min="47" max="60" width="3.6640625" customWidth="1"/>
  </cols>
  <sheetData>
    <row r="1" spans="1:60" ht="18.600000000000001" customHeight="1">
      <c r="A1" s="12" t="s">
        <v>573</v>
      </c>
    </row>
    <row r="2" spans="1:60" ht="311.10000000000002" customHeight="1">
      <c r="A2" s="23" t="str">
        <f t="array" ref="A2:BH2">Measure_62443_3_3[[#Headers],[G 0.13 Interception of Compromising Interference Signals]:[OPS.1.1.3.8 Manipulation of data and tools during patch and change management]]</f>
        <v>G 0.13 Interception of Compromising Interference Signals</v>
      </c>
      <c r="B2" s="23" t="str">
        <v xml:space="preserve">G 0.14 Interception of Information / Espionage </v>
      </c>
      <c r="C2" s="23" t="str">
        <v>G 0.15 Eavesdropping</v>
      </c>
      <c r="D2" s="23" t="str">
        <v>G 0.16 Theft of Devices, Storage Media and Documents</v>
      </c>
      <c r="E2" s="23" t="str">
        <v>G 0.17 Loss of Devices, Storage Media and Documents</v>
      </c>
      <c r="F2" s="23" t="str">
        <v>G 0.19 Disclosure of Sensitive Information</v>
      </c>
      <c r="G2" s="23" t="str">
        <v>G 0.20 Information or Products from an Unreliable Source</v>
      </c>
      <c r="H2" s="23" t="str">
        <v>G 0.21 Manipulation of Hardware or Software</v>
      </c>
      <c r="I2" s="23" t="str">
        <v>G 0.22 Manipulation of Information</v>
      </c>
      <c r="J2" s="23" t="str">
        <v>G 0.23 Unauthorised Access to IT Systems</v>
      </c>
      <c r="K2" s="23" t="str">
        <v>G 0.24 Destruction of Devices or Storage Media</v>
      </c>
      <c r="L2" s="23" t="str">
        <v>G 0.28 Software Vulnerabilities or Errors</v>
      </c>
      <c r="M2" s="23" t="str">
        <v>G 0.30 Unauthorised Use or Administration of Devices and Systems</v>
      </c>
      <c r="N2" s="23" t="str">
        <v>G 0.31 Incorrect Use or Administration of Devices and Systems</v>
      </c>
      <c r="O2" s="23" t="str">
        <v>G 0.32 Misuse of Authorisation</v>
      </c>
      <c r="P2" s="23" t="str">
        <v>G 0.35 Coercion, Blackmail or Corruption</v>
      </c>
      <c r="Q2" s="23" t="str">
        <v>G 0.36 Identity Theft</v>
      </c>
      <c r="R2" s="23" t="str">
        <v>G 0.37 Repudiation of Actions</v>
      </c>
      <c r="S2" s="23" t="str">
        <v>G 0.38 Misuse of Personal Information</v>
      </c>
      <c r="T2" s="23" t="str">
        <v>G 0.39 Malware</v>
      </c>
      <c r="U2" s="23" t="str">
        <v>G 0.40 Denial of Service</v>
      </c>
      <c r="V2" s="23" t="str">
        <v>G 0.42 Social Engineering</v>
      </c>
      <c r="W2" s="23" t="str">
        <v>G 0.43 Attack with Specially Crafted Messages</v>
      </c>
      <c r="X2" s="23" t="str">
        <v>G 0.44 Unauthorised Entry to Premises</v>
      </c>
      <c r="Y2" s="23" t="str">
        <v>G 0.45 Data Loss</v>
      </c>
      <c r="Z2" s="23" t="str">
        <v>G 0.46 Loss of Integrity of Sensitive Information</v>
      </c>
      <c r="AA2" s="23" t="str">
        <v>G 0.47 Harmful Side Effects of IT-Supported Attacks</v>
      </c>
      <c r="AB2" s="23" t="str">
        <v>IND.1.2 Insufficient integration of OT into the security organisation</v>
      </c>
      <c r="AC2" s="23" t="str">
        <v>IND.1.3 Insufficient integration of OT into operational processes</v>
      </c>
      <c r="AD2" s="23" t="str">
        <v>IND.1.4 Insufficient access protection</v>
      </c>
      <c r="AE2" s="23" t="str">
        <v>IND.1.5 Unsecure project planning process/application development process</v>
      </c>
      <c r="AF2" s="23" t="str">
        <v>IND.1.6 Unsecure administration concept and remote administration</v>
      </c>
      <c r="AG2" s="23" t="str">
        <v>IND.1.7 Insufficient monitoring and detection procedures</v>
      </c>
      <c r="AH2" s="23" t="str">
        <v>IND.1.8 Insufficient test concept</v>
      </c>
      <c r="AI2" s="23" t="str">
        <v>IND.1.9 Insufficient life cycle concepts</v>
      </c>
      <c r="AJ2" s="23" t="str">
        <v>IND.1.10 Insufficient security requirements for procurement</v>
      </c>
      <c r="AK2" s="23" t="str">
        <v>IND.1.11 Use of unsecure protocols</v>
      </c>
      <c r="AL2" s="23" t="str">
        <v>IND.1.12 Insecure configurations of components</v>
      </c>
      <c r="AM2" s="23" t="str">
        <v>IND.1.13 Dependencies of OT on IT networks</v>
      </c>
      <c r="AN2" s="23" t="str">
        <v>IND.2.1.2 Insufficient user and authorisation management</v>
      </c>
      <c r="AO2" s="23" t="str">
        <v>IND.2.1.3 Insufficient logging</v>
      </c>
      <c r="AP2" s="23" t="str">
        <v>IND.2.1.9 Manipulated firmware</v>
      </c>
      <c r="AQ2" s="23" t="str">
        <v>IND.2.2.1 Incomplete documentation</v>
      </c>
      <c r="AR2" s="23" t="str">
        <v>IND.3.2.1 Incompletely documented remote maintenance access in the OT</v>
      </c>
      <c r="AS2" s="23" t="str">
        <v>IND.3.2.2 Insufficient availability due to dependencies on office and building IT</v>
      </c>
      <c r="AT2" s="23" t="str">
        <v>IND.3.2.3 Insufficient regulations for the use of OT remote maintenance access</v>
      </c>
      <c r="AU2" s="23" t="str">
        <v>IND.3.2.4 Insufficient human oversight over OT remote maintenance sessions</v>
      </c>
      <c r="AV2" s="23" t="str">
        <v>IND.3.2.5 Direct IP-based access to systems from insecure zones</v>
      </c>
      <c r="AW2" s="23" t="str">
        <v>IND.3.2.6 Insecure alternative OT remote maintenance access in the event of faults</v>
      </c>
      <c r="AX2" s="23" t="str">
        <v>IND.3.2.7 Insecure design of OT remote maintenance accesses</v>
      </c>
      <c r="AY2" s="23" t="str">
        <v>IND.3.2.8 Outdated technical concepts for OT remote maintenance access</v>
      </c>
      <c r="AZ2" s="23" t="str">
        <v>CON.1.1 Insufficient key management for encryption</v>
      </c>
      <c r="BA2" s="23" t="str">
        <v>CON.1.8 Compromise of cryptographic keys</v>
      </c>
      <c r="BB2" s="23" t="str">
        <v>CON.1.9 Forged certificates</v>
      </c>
      <c r="BC2" s="23" t="str">
        <v>CON.3.1 Missing data backup</v>
      </c>
      <c r="BD2" s="23" t="str">
        <v>CON.3.2 Missing recovery tests</v>
      </c>
      <c r="BE2" s="23" t="str">
        <v>OPS.1.1.3.5 Problems with the automated distribution of patches and changes</v>
      </c>
      <c r="BF2" s="23" t="str">
        <v>OPS.1.1.3.6 Insufficient recovery options for patch and change management</v>
      </c>
      <c r="BG2" s="23" t="str">
        <v>OPS.1.1.3.8 Manipulation of data and tools during patch and change management</v>
      </c>
      <c r="BH2" s="23" t="e">
        <v>#N/A</v>
      </c>
    </row>
    <row r="3" spans="1:60">
      <c r="A3" t="str">
        <f t="array" ref="A3">_xlfn.TEXTJOIN("; ",TRUE,IF(Measure_62443_3_3[G 0.13 Interception of Compromising Interference Signals]="P",Measure_62443_3_3[[Official ID (62443-3-3 -2013)]:[Official ID (62443-3-3 -2013)]],""))</f>
        <v/>
      </c>
      <c r="B3" t="str">
        <f t="array" ref="B3">_xlfn.TEXTJOIN("; ",TRUE,IF(Measure_62443_3_3[G 0.14 Interception of Information / Espionage ]="P",Measure_62443_3_3[[Official ID (62443-3-3 -2013)]:[Official ID (62443-3-3 -2013)]],""))</f>
        <v/>
      </c>
      <c r="C3" t="str">
        <f t="array" ref="C3">_xlfn.TEXTJOIN("; ",TRUE,IF(Measure_62443_3_3[G 0.15 Eavesdropping]="P",Measure_62443_3_3[[Official ID (62443-3-3 -2013)]:[Official ID (62443-3-3 -2013)]],""))</f>
        <v/>
      </c>
      <c r="D3" t="str">
        <f t="array" ref="D3">_xlfn.TEXTJOIN("; ",TRUE,IF(Measure_62443_3_3[G 0.16 Theft of Devices, Storage Media and Documents]="P",Measure_62443_3_3[[Official ID (62443-3-3 -2013)]:[Official ID (62443-3-3 -2013)]],""))</f>
        <v/>
      </c>
      <c r="E3" t="str">
        <f t="array" ref="E3">_xlfn.TEXTJOIN("; ",TRUE,IF(Measure_62443_3_3[G 0.17 Loss of Devices, Storage Media and Documents]="P",Measure_62443_3_3[[Official ID (62443-3-3 -2013)]:[Official ID (62443-3-3 -2013)]],""))</f>
        <v/>
      </c>
      <c r="F3" t="str">
        <f t="array" ref="F3">_xlfn.TEXTJOIN("; ",TRUE,IF(Measure_62443_3_3[G 0.19 Disclosure of Sensitive Information]="P",Measure_62443_3_3[[Official ID (62443-3-3 -2013)]:[Official ID (62443-3-3 -2013)]],""))</f>
        <v/>
      </c>
      <c r="G3" t="str">
        <f t="array" ref="G3">_xlfn.TEXTJOIN("; ",TRUE,IF(Measure_62443_3_3[G 0.20 Information or Products from an Unreliable Source]="P",Measure_62443_3_3[[Official ID (62443-3-3 -2013)]:[Official ID (62443-3-3 -2013)]],""))</f>
        <v/>
      </c>
      <c r="H3" t="str">
        <f t="array" ref="H3">_xlfn.TEXTJOIN("; ",TRUE,IF(Measure_62443_3_3[G 0.21 Manipulation of Hardware or Software]="P",Measure_62443_3_3[[Official ID (62443-3-3 -2013)]:[Official ID (62443-3-3 -2013)]],""))</f>
        <v/>
      </c>
      <c r="I3" t="str">
        <f t="array" ref="I3">_xlfn.TEXTJOIN("; ",TRUE,IF(Measure_62443_3_3[G 0.22 Manipulation of Information]="P",Measure_62443_3_3[[Official ID (62443-3-3 -2013)]:[Official ID (62443-3-3 -2013)]],""))</f>
        <v/>
      </c>
      <c r="J3" t="str">
        <f t="array" ref="J3">_xlfn.TEXTJOIN("; ",TRUE,IF(Measure_62443_3_3[G 0.23 Unauthorised Access to IT Systems]="P",Measure_62443_3_3[[Official ID (62443-3-3 -2013)]:[Official ID (62443-3-3 -2013)]],""))</f>
        <v/>
      </c>
      <c r="K3" t="str">
        <f t="array" ref="K3">_xlfn.TEXTJOIN("; ",TRUE,IF(Measure_62443_3_3[G 0.24 Destruction of Devices or Storage Media]="P",Measure_62443_3_3[[Official ID (62443-3-3 -2013)]:[Official ID (62443-3-3 -2013)]],""))</f>
        <v/>
      </c>
      <c r="L3" t="str">
        <f t="array" ref="L3">_xlfn.TEXTJOIN("; ",TRUE,IF(Measure_62443_3_3[G 0.28 Software Vulnerabilities or Errors]="P",Measure_62443_3_3[[Official ID (62443-3-3 -2013)]:[Official ID (62443-3-3 -2013)]],""))</f>
        <v/>
      </c>
      <c r="M3" t="str">
        <f t="array" ref="M3">_xlfn.TEXTJOIN("; ",TRUE,IF(Measure_62443_3_3[G 0.30 Unauthorised Use or Administration of Devices and Systems]="P",Measure_62443_3_3[[Official ID (62443-3-3 -2013)]:[Official ID (62443-3-3 -2013)]],""))</f>
        <v/>
      </c>
      <c r="N3" t="str">
        <f t="array" ref="N3">_xlfn.TEXTJOIN("; ",TRUE,IF(Measure_62443_3_3[G 0.31 Incorrect Use or Administration of Devices and Systems]="P",Measure_62443_3_3[[Official ID (62443-3-3 -2013)]:[Official ID (62443-3-3 -2013)]],""))</f>
        <v/>
      </c>
      <c r="O3" t="str">
        <f t="array" ref="O3">_xlfn.TEXTJOIN("; ",TRUE,IF(Measure_62443_3_3[G 0.32 Misuse of Authorisation]="P",Measure_62443_3_3[[Official ID (62443-3-3 -2013)]:[Official ID (62443-3-3 -2013)]],""))</f>
        <v/>
      </c>
      <c r="P3" t="str">
        <f t="array" ref="P3">_xlfn.TEXTJOIN("; ",TRUE,IF(Measure_62443_3_3[G 0.35 Coercion, Blackmail or Corruption]="P",Measure_62443_3_3[[Official ID (62443-3-3 -2013)]:[Official ID (62443-3-3 -2013)]],""))</f>
        <v/>
      </c>
      <c r="Q3" t="str">
        <f t="array" ref="Q3">_xlfn.TEXTJOIN("; ",TRUE,IF(Measure_62443_3_3[G 0.36 Identity Theft]="P",Measure_62443_3_3[[Official ID (62443-3-3 -2013)]:[Official ID (62443-3-3 -2013)]],""))</f>
        <v/>
      </c>
      <c r="R3" t="str">
        <f t="array" ref="R3">_xlfn.TEXTJOIN("; ",TRUE,IF(Measure_62443_3_3[G 0.37 Repudiation of Actions]="P",Measure_62443_3_3[[Official ID (62443-3-3 -2013)]:[Official ID (62443-3-3 -2013)]],""))</f>
        <v/>
      </c>
      <c r="S3" t="str">
        <f t="array" ref="S3">_xlfn.TEXTJOIN("; ",TRUE,IF(Measure_62443_3_3[G 0.38 Misuse of Personal Information]="P",Measure_62443_3_3[[Official ID (62443-3-3 -2013)]:[Official ID (62443-3-3 -2013)]],""))</f>
        <v/>
      </c>
      <c r="T3" t="str">
        <f t="array" ref="T3">_xlfn.TEXTJOIN("; ",TRUE,IF(Measure_62443_3_3[G 0.39 Malware]="P",Measure_62443_3_3[[Official ID (62443-3-3 -2013)]:[Official ID (62443-3-3 -2013)]],""))</f>
        <v/>
      </c>
      <c r="U3" t="str">
        <f t="array" ref="U3">_xlfn.TEXTJOIN("; ",TRUE,IF(Measure_62443_3_3[G 0.40 Denial of Service]="P",Measure_62443_3_3[[Official ID (62443-3-3 -2013)]:[Official ID (62443-3-3 -2013)]],""))</f>
        <v/>
      </c>
      <c r="V3" t="str">
        <f t="array" ref="V3">_xlfn.TEXTJOIN("; ",TRUE,IF(Measure_62443_3_3[G 0.42 Social Engineering]="P",Measure_62443_3_3[[Official ID (62443-3-3 -2013)]:[Official ID (62443-3-3 -2013)]],""))</f>
        <v/>
      </c>
      <c r="W3" t="str">
        <f t="array" ref="W3">_xlfn.TEXTJOIN("; ",TRUE,IF(Measure_62443_3_3[G 0.43 Attack with Specially Crafted Messages]="P",Measure_62443_3_3[[Official ID (62443-3-3 -2013)]:[Official ID (62443-3-3 -2013)]],""))</f>
        <v/>
      </c>
      <c r="X3" t="str">
        <f t="array" ref="X3">_xlfn.TEXTJOIN("; ",TRUE,IF(Measure_62443_3_3[G 0.44 Unauthorised Entry to Premises]="P",Measure_62443_3_3[[Official ID (62443-3-3 -2013)]:[Official ID (62443-3-3 -2013)]],""))</f>
        <v/>
      </c>
      <c r="Y3" t="str">
        <f t="array" ref="Y3">_xlfn.TEXTJOIN("; ",TRUE,IF(Measure_62443_3_3[G 0.45 Data Loss]="P",Measure_62443_3_3[[Official ID (62443-3-3 -2013)]:[Official ID (62443-3-3 -2013)]],""))</f>
        <v/>
      </c>
      <c r="Z3" t="str">
        <f t="array" ref="Z3">_xlfn.TEXTJOIN("; ",TRUE,IF(Measure_62443_3_3[G 0.46 Loss of Integrity of Sensitive Information]="P",Measure_62443_3_3[[Official ID (62443-3-3 -2013)]:[Official ID (62443-3-3 -2013)]],""))</f>
        <v/>
      </c>
      <c r="AA3" t="str">
        <f t="array" ref="AA3">_xlfn.TEXTJOIN("; ",TRUE,IF(Measure_62443_3_3[G 0.47 Harmful Side Effects of IT-Supported Attacks]="P",Measure_62443_3_3[[Official ID (62443-3-3 -2013)]:[Official ID (62443-3-3 -2013)]],""))</f>
        <v/>
      </c>
      <c r="AB3" t="str">
        <f t="array" ref="AB3">_xlfn.TEXTJOIN("; ",TRUE,IF(Measure_62443_3_3[IND.1.2 Insufficient integration of OT into the security organisation]="P",Measure_62443_3_3[[Official ID (62443-3-3 -2013)]:[Official ID (62443-3-3 -2013)]],""))</f>
        <v/>
      </c>
      <c r="AC3" t="str">
        <f t="array" ref="AC3">_xlfn.TEXTJOIN("; ",TRUE,IF(Measure_62443_3_3[IND.1.3 Insufficient integration of OT into operational processes]="P",Measure_62443_3_3[[Official ID (62443-3-3 -2013)]:[Official ID (62443-3-3 -2013)]],""))</f>
        <v/>
      </c>
      <c r="AD3" t="str">
        <f t="array" ref="AD3">_xlfn.TEXTJOIN("; ",TRUE,IF(Measure_62443_3_3[IND.1.4 Insufficient access protection]="P",Measure_62443_3_3[[Official ID (62443-3-3 -2013)]:[Official ID (62443-3-3 -2013)]],""))</f>
        <v/>
      </c>
      <c r="AE3" t="str">
        <f t="array" ref="AE3">_xlfn.TEXTJOIN("; ",TRUE,IF(Measure_62443_3_3[IND.1.5 Unsecure project planning process/application development process]="P",Measure_62443_3_3[[Official ID (62443-3-3 -2013)]:[Official ID (62443-3-3 -2013)]],""))</f>
        <v/>
      </c>
      <c r="AF3" t="str">
        <f t="array" ref="AF3">_xlfn.TEXTJOIN("; ",TRUE,IF(Measure_62443_3_3[IND.1.6 Unsecure administration concept and remote administration]="P",Measure_62443_3_3[[Official ID (62443-3-3 -2013)]:[Official ID (62443-3-3 -2013)]],""))</f>
        <v/>
      </c>
      <c r="AG3" t="str">
        <f t="array" ref="AG3">_xlfn.TEXTJOIN("; ",TRUE,IF(Measure_62443_3_3[IND.1.7 Insufficient monitoring and detection procedures]="P",Measure_62443_3_3[[Official ID (62443-3-3 -2013)]:[Official ID (62443-3-3 -2013)]],""))</f>
        <v/>
      </c>
      <c r="AH3" t="str">
        <f t="array" ref="AH3">_xlfn.TEXTJOIN("; ",TRUE,IF(Measure_62443_3_3[IND.1.8 Insufficient test concept]="P",Measure_62443_3_3[[Official ID (62443-3-3 -2013)]:[Official ID (62443-3-3 -2013)]],""))</f>
        <v/>
      </c>
      <c r="AI3" t="str">
        <f t="array" ref="AI3">_xlfn.TEXTJOIN("; ",TRUE,IF(Measure_62443_3_3[IND.1.9 Insufficient life cycle concepts]="P",Measure_62443_3_3[[Official ID (62443-3-3 -2013)]:[Official ID (62443-3-3 -2013)]],""))</f>
        <v/>
      </c>
      <c r="AJ3" t="str">
        <f t="array" ref="AJ3">_xlfn.TEXTJOIN("; ",TRUE,IF(Measure_62443_3_3[IND.1.10 Insufficient security requirements for procurement]="P",Measure_62443_3_3[[Official ID (62443-3-3 -2013)]:[Official ID (62443-3-3 -2013)]],""))</f>
        <v/>
      </c>
      <c r="AK3" t="str">
        <f t="array" ref="AK3">_xlfn.TEXTJOIN("; ",TRUE,IF(Measure_62443_3_3[IND.1.11 Use of unsecure protocols]="P",Measure_62443_3_3[[Official ID (62443-3-3 -2013)]:[Official ID (62443-3-3 -2013)]],""))</f>
        <v/>
      </c>
      <c r="AL3" t="str">
        <f t="array" ref="AL3">_xlfn.TEXTJOIN("; ",TRUE,IF(Measure_62443_3_3[IND.1.12 Insecure configurations of components]="P",Measure_62443_3_3[[Official ID (62443-3-3 -2013)]:[Official ID (62443-3-3 -2013)]],""))</f>
        <v/>
      </c>
      <c r="AM3" t="str">
        <f t="array" ref="AM3">_xlfn.TEXTJOIN("; ",TRUE,IF(Measure_62443_3_3[IND.1.13 Dependencies of OT on IT networks]="P",Measure_62443_3_3[[Official ID (62443-3-3 -2013)]:[Official ID (62443-3-3 -2013)]],""))</f>
        <v/>
      </c>
      <c r="AN3" t="str">
        <f t="array" ref="AN3">_xlfn.TEXTJOIN("; ",TRUE,IF(Measure_62443_3_3[IND.2.1.2 Insufficient user and authorisation management]="P",Measure_62443_3_3[[Official ID (62443-3-3 -2013)]:[Official ID (62443-3-3 -2013)]],""))</f>
        <v/>
      </c>
      <c r="AO3" t="str">
        <f t="array" ref="AO3">_xlfn.TEXTJOIN("; ",TRUE,IF(Measure_62443_3_3[IND.2.1.3 Insufficient logging]="P",Measure_62443_3_3[[Official ID (62443-3-3 -2013)]:[Official ID (62443-3-3 -2013)]],""))</f>
        <v/>
      </c>
      <c r="AP3" t="str">
        <f t="array" ref="AP3">_xlfn.TEXTJOIN("; ",TRUE,IF(Measure_62443_3_3[IND.2.1.9 Manipulated firmware]="P",Measure_62443_3_3[[Official ID (62443-3-3 -2013)]:[Official ID (62443-3-3 -2013)]],""))</f>
        <v/>
      </c>
      <c r="AQ3" t="str">
        <f t="array" ref="AQ3">_xlfn.TEXTJOIN("; ",TRUE,IF(Measure_62443_3_3[IND.2.2.1 Incomplete documentation]="P",Measure_62443_3_3[[Official ID (62443-3-3 -2013)]:[Official ID (62443-3-3 -2013)]],""))</f>
        <v/>
      </c>
      <c r="AR3" t="str">
        <f t="array" ref="AR3">_xlfn.TEXTJOIN("; ",TRUE,IF(Measure_62443_3_3[IND.3.2.1 Incompletely documented remote maintenance access in the OT]="P",Measure_62443_3_3[[Official ID (62443-3-3 -2013)]:[Official ID (62443-3-3 -2013)]],""))</f>
        <v/>
      </c>
      <c r="AS3" t="str">
        <f t="array" ref="AS3">_xlfn.TEXTJOIN("; ",TRUE,IF(Measure_62443_3_3[IND.3.2.2 Insufficient availability due to dependencies on office and building IT]="P",Measure_62443_3_3[[Official ID (62443-3-3 -2013)]:[Official ID (62443-3-3 -2013)]],""))</f>
        <v/>
      </c>
      <c r="AT3" t="str">
        <f t="array" ref="AT3">_xlfn.TEXTJOIN("; ",TRUE,IF(Measure_62443_3_3[IND.3.2.3 Insufficient regulations for the use of OT remote maintenance access]="P",Measure_62443_3_3[[Official ID (62443-3-3 -2013)]:[Official ID (62443-3-3 -2013)]],""))</f>
        <v/>
      </c>
      <c r="AU3" t="str">
        <f t="array" ref="AU3">_xlfn.TEXTJOIN("; ",TRUE,IF(Measure_62443_3_3[IND.3.2.4 Insufficient human oversight over OT remote maintenance sessions]="P",Measure_62443_3_3[[Official ID (62443-3-3 -2013)]:[Official ID (62443-3-3 -2013)]],""))</f>
        <v/>
      </c>
      <c r="AV3" t="str">
        <f t="array" ref="AV3">_xlfn.TEXTJOIN("; ",TRUE,IF(Measure_62443_3_3[IND.3.2.5 Direct IP-based access to systems from insecure zones]="P",Measure_62443_3_3[[Official ID (62443-3-3 -2013)]:[Official ID (62443-3-3 -2013)]],""))</f>
        <v/>
      </c>
      <c r="AW3" t="str">
        <f t="array" ref="AW3">_xlfn.TEXTJOIN("; ",TRUE,IF(Measure_62443_3_3[IND.3.2.6 Insecure alternative OT remote maintenance access in the event of faults]="P",Measure_62443_3_3[[Official ID (62443-3-3 -2013)]:[Official ID (62443-3-3 -2013)]],""))</f>
        <v/>
      </c>
      <c r="AX3" t="str">
        <f t="array" ref="AX3">_xlfn.TEXTJOIN("; ",TRUE,IF(Measure_62443_3_3[IND.3.2.7 Insecure design of OT remote maintenance accesses]="P",Measure_62443_3_3[[Official ID (62443-3-3 -2013)]:[Official ID (62443-3-3 -2013)]],""))</f>
        <v/>
      </c>
      <c r="AY3" t="str">
        <f t="array" ref="AY3">_xlfn.TEXTJOIN("; ",TRUE,IF(Measure_62443_3_3[IND.3.2.8 Outdated technical concepts for OT remote maintenance access]="P",Measure_62443_3_3[[Official ID (62443-3-3 -2013)]:[Official ID (62443-3-3 -2013)]],""))</f>
        <v/>
      </c>
      <c r="AZ3" t="str">
        <f t="array" ref="AZ3">_xlfn.TEXTJOIN("; ",TRUE,IF(Measure_62443_3_3[CON.1.1 Insufficient key management for encryption]="P",Measure_62443_3_3[[Official ID (62443-3-3 -2013)]:[Official ID (62443-3-3 -2013)]],""))</f>
        <v/>
      </c>
      <c r="BA3" t="str">
        <f t="array" ref="BA3">_xlfn.TEXTJOIN("; ",TRUE,IF(Measure_62443_3_3[CON.1.8 Compromise of cryptographic keys]="P",Measure_62443_3_3[[Official ID (62443-3-3 -2013)]:[Official ID (62443-3-3 -2013)]],""))</f>
        <v/>
      </c>
      <c r="BB3" t="str">
        <f t="array" ref="BB3">_xlfn.TEXTJOIN("; ",TRUE,IF(Measure_62443_3_3[CON.1.9 Forged certificates]="P",Measure_62443_3_3[[Official ID (62443-3-3 -2013)]:[Official ID (62443-3-3 -2013)]],""))</f>
        <v/>
      </c>
      <c r="BC3" t="str">
        <f t="array" ref="BC3">_xlfn.TEXTJOIN("; ",TRUE,IF(Measure_62443_3_3[CON.3.1 Missing data backup]="P",Measure_62443_3_3[[Official ID (62443-3-3 -2013)]:[Official ID (62443-3-3 -2013)]],""))</f>
        <v/>
      </c>
      <c r="BD3" t="str">
        <f t="array" ref="BD3">_xlfn.TEXTJOIN("; ",TRUE,IF(Measure_62443_3_3[CON.3.2 Missing recovery tests]="P",Measure_62443_3_3[[Official ID (62443-3-3 -2013)]:[Official ID (62443-3-3 -2013)]],""))</f>
        <v/>
      </c>
      <c r="BE3" t="str">
        <f t="array" ref="BE3">_xlfn.TEXTJOIN("; ",TRUE,IF(Measure_62443_3_3[OPS.1.1.3.5 Problems with the automated distribution of patches and changes]="P",Measure_62443_3_3[[Official ID (62443-3-3 -2013)]:[Official ID (62443-3-3 -2013)]],""))</f>
        <v/>
      </c>
      <c r="BF3" t="str">
        <f t="array" ref="BF3">_xlfn.TEXTJOIN("; ",TRUE,IF(Measure_62443_3_3[OPS.1.1.3.6 Insufficient recovery options for patch and change management]="P",Measure_62443_3_3[[Official ID (62443-3-3 -2013)]:[Official ID (62443-3-3 -2013)]],""))</f>
        <v/>
      </c>
      <c r="BG3" t="str">
        <f t="array" ref="BG3">_xlfn.TEXTJOIN("; ",TRUE,IF(Measure_62443_3_3[OPS.1.1.3.8 Manipulation of data and tools during patch and change management]="P",Measure_62443_3_3[[Official ID (62443-3-3 -2013)]:[Official ID (62443-3-3 -2013)]],""))</f>
        <v/>
      </c>
      <c r="BH3" t="str">
        <f t="array" ref="BH3">_xlfn.TEXTJOIN("; ",TRUE,IF(Measure_62443_3_3[OPS.1.1.3.8 Manipulation of data and tools during patch and change management]="P",Measure_62443_3_3[[Official ID (62443-3-3 -2013)]:[Official ID (62443-3-3 -2013)]],""))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/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Unsecure project planning process/application development process</v>
      </c>
      <c r="B37" t="str">
        <v/>
      </c>
    </row>
    <row r="38" spans="1:2">
      <c r="A38" t="str">
        <v>IND.1.6 Unsecure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unsecure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H66"/>
  <sheetViews>
    <sheetView workbookViewId="0">
      <selection activeCell="AM8" sqref="AM8"/>
    </sheetView>
  </sheetViews>
  <sheetFormatPr baseColWidth="10" defaultColWidth="11.44140625" defaultRowHeight="14.4"/>
  <cols>
    <col min="1" max="46" width="3.6640625" bestFit="1" customWidth="1"/>
    <col min="47" max="47" width="3.6640625" customWidth="1"/>
    <col min="48" max="60" width="3.109375" style="23" customWidth="1"/>
  </cols>
  <sheetData>
    <row r="1" spans="1:60" ht="18.600000000000001" customHeight="1">
      <c r="A1" s="12" t="s">
        <v>573</v>
      </c>
    </row>
    <row r="2" spans="1:60" ht="311.10000000000002" customHeight="1">
      <c r="A2" s="23" t="str">
        <f t="array" ref="A2:BH2">Measure_62443_3_3[[#Headers],[G 0.13 Interception of Compromising Interference Signals]:[OPS.1.1.3.8 Manipulation of data and tools during patch and change management]]</f>
        <v>G 0.13 Interception of Compromising Interference Signals</v>
      </c>
      <c r="B2" s="23" t="str">
        <v xml:space="preserve">G 0.14 Interception of Information / Espionage </v>
      </c>
      <c r="C2" s="23" t="str">
        <v>G 0.15 Eavesdropping</v>
      </c>
      <c r="D2" s="23" t="str">
        <v>G 0.16 Theft of Devices, Storage Media and Documents</v>
      </c>
      <c r="E2" s="23" t="str">
        <v>G 0.17 Loss of Devices, Storage Media and Documents</v>
      </c>
      <c r="F2" s="23" t="str">
        <v>G 0.19 Disclosure of Sensitive Information</v>
      </c>
      <c r="G2" s="23" t="str">
        <v>G 0.20 Information or Products from an Unreliable Source</v>
      </c>
      <c r="H2" s="23" t="str">
        <v>G 0.21 Manipulation of Hardware or Software</v>
      </c>
      <c r="I2" s="23" t="str">
        <v>G 0.22 Manipulation of Information</v>
      </c>
      <c r="J2" s="23" t="str">
        <v>G 0.23 Unauthorised Access to IT Systems</v>
      </c>
      <c r="K2" s="23" t="str">
        <v>G 0.24 Destruction of Devices or Storage Media</v>
      </c>
      <c r="L2" s="23" t="str">
        <v>G 0.28 Software Vulnerabilities or Errors</v>
      </c>
      <c r="M2" s="23" t="str">
        <v>G 0.30 Unauthorised Use or Administration of Devices and Systems</v>
      </c>
      <c r="N2" s="23" t="str">
        <v>G 0.31 Incorrect Use or Administration of Devices and Systems</v>
      </c>
      <c r="O2" s="23" t="str">
        <v>G 0.32 Misuse of Authorisation</v>
      </c>
      <c r="P2" s="23" t="str">
        <v>G 0.35 Coercion, Blackmail or Corruption</v>
      </c>
      <c r="Q2" s="23" t="str">
        <v>G 0.36 Identity Theft</v>
      </c>
      <c r="R2" s="23" t="str">
        <v>G 0.37 Repudiation of Actions</v>
      </c>
      <c r="S2" s="23" t="str">
        <v>G 0.38 Misuse of Personal Information</v>
      </c>
      <c r="T2" s="23" t="str">
        <v>G 0.39 Malware</v>
      </c>
      <c r="U2" s="23" t="str">
        <v>G 0.40 Denial of Service</v>
      </c>
      <c r="V2" s="23" t="str">
        <v>G 0.42 Social Engineering</v>
      </c>
      <c r="W2" s="23" t="str">
        <v>G 0.43 Attack with Specially Crafted Messages</v>
      </c>
      <c r="X2" s="23" t="str">
        <v>G 0.44 Unauthorised Entry to Premises</v>
      </c>
      <c r="Y2" s="23" t="str">
        <v>G 0.45 Data Loss</v>
      </c>
      <c r="Z2" s="23" t="str">
        <v>G 0.46 Loss of Integrity of Sensitive Information</v>
      </c>
      <c r="AA2" s="23" t="str">
        <v>G 0.47 Harmful Side Effects of IT-Supported Attacks</v>
      </c>
      <c r="AB2" s="23" t="str">
        <v>IND.1.2 Insufficient integration of OT into the security organisation</v>
      </c>
      <c r="AC2" s="23" t="str">
        <v>IND.1.3 Insufficient integration of OT into operational processes</v>
      </c>
      <c r="AD2" s="23" t="str">
        <v>IND.1.4 Insufficient access protection</v>
      </c>
      <c r="AE2" s="23" t="str">
        <v>IND.1.5 Unsecure project planning process/application development process</v>
      </c>
      <c r="AF2" s="23" t="str">
        <v>IND.1.6 Unsecure administration concept and remote administration</v>
      </c>
      <c r="AG2" s="23" t="str">
        <v>IND.1.7 Insufficient monitoring and detection procedures</v>
      </c>
      <c r="AH2" s="23" t="str">
        <v>IND.1.8 Insufficient test concept</v>
      </c>
      <c r="AI2" s="23" t="str">
        <v>IND.1.9 Insufficient life cycle concepts</v>
      </c>
      <c r="AJ2" s="23" t="str">
        <v>IND.1.10 Insufficient security requirements for procurement</v>
      </c>
      <c r="AK2" s="23" t="str">
        <v>IND.1.11 Use of unsecure protocols</v>
      </c>
      <c r="AL2" s="23" t="str">
        <v>IND.1.12 Insecure configurations of components</v>
      </c>
      <c r="AM2" s="23" t="str">
        <v>IND.1.13 Dependencies of OT on IT networks</v>
      </c>
      <c r="AN2" s="23" t="str">
        <v>IND.2.1.2 Insufficient user and authorisation management</v>
      </c>
      <c r="AO2" s="23" t="str">
        <v>IND.2.1.3 Insufficient logging</v>
      </c>
      <c r="AP2" s="23" t="str">
        <v>IND.2.1.9 Manipulated firmware</v>
      </c>
      <c r="AQ2" s="23" t="str">
        <v>IND.2.2.1 Incomplete documentation</v>
      </c>
      <c r="AR2" s="23" t="str">
        <v>IND.3.2.1 Incompletely documented remote maintenance access in the OT</v>
      </c>
      <c r="AS2" s="23" t="str">
        <v>IND.3.2.2 Insufficient availability due to dependencies on office and building IT</v>
      </c>
      <c r="AT2" s="23" t="str">
        <v>IND.3.2.3 Insufficient regulations for the use of OT remote maintenance access</v>
      </c>
      <c r="AU2" s="23" t="str">
        <v>IND.3.2.4 Insufficient human oversight over OT remote maintenance sessions</v>
      </c>
      <c r="AV2" s="23" t="str">
        <v>IND.3.2.5 Direct IP-based access to systems from insecure zones</v>
      </c>
      <c r="AW2" s="23" t="str">
        <v>IND.3.2.6 Insecure alternative OT remote maintenance access in the event of faults</v>
      </c>
      <c r="AX2" s="23" t="str">
        <v>IND.3.2.7 Insecure design of OT remote maintenance accesses</v>
      </c>
      <c r="AY2" s="23" t="str">
        <v>IND.3.2.8 Outdated technical concepts for OT remote maintenance access</v>
      </c>
      <c r="AZ2" s="23" t="str">
        <v>CON.1.1 Insufficient key management for encryption</v>
      </c>
      <c r="BA2" s="23" t="str">
        <v>CON.1.8 Compromise of cryptographic keys</v>
      </c>
      <c r="BB2" s="23" t="str">
        <v>CON.1.9 Forged certificates</v>
      </c>
      <c r="BC2" s="23" t="str">
        <v>CON.3.1 Missing data backup</v>
      </c>
      <c r="BD2" s="23" t="str">
        <v>CON.3.2 Missing recovery tests</v>
      </c>
      <c r="BE2" s="23" t="str">
        <v>OPS.1.1.3.5 Problems with the automated distribution of patches and changes</v>
      </c>
      <c r="BF2" s="23" t="str">
        <v>OPS.1.1.3.6 Insufficient recovery options for patch and change management</v>
      </c>
      <c r="BG2" s="23" t="str">
        <v>OPS.1.1.3.8 Manipulation of data and tools during patch and change management</v>
      </c>
      <c r="BH2" s="23" t="e">
        <v>#N/A</v>
      </c>
    </row>
    <row r="3" spans="1:60">
      <c r="A3" t="str">
        <f t="array" ref="A3">_xlfn.TEXTJOIN("; ",TRUE,IF(Measure_62443_3_3[G 0.13 Interception of Compromising Interference Signals]="M",Measure_62443_3_3[[Official ID (62443-3-3 -2013)]:[Official ID (62443-3-3 -2013)]],""))</f>
        <v/>
      </c>
      <c r="B3" t="str">
        <f t="array" ref="B3">_xlfn.TEXTJOIN("; ",TRUE,IF(Measure_62443_3_3[G 0.14 Interception of Information / Espionage ]="M",Measure_62443_3_3[[Official ID (62443-3-3 -2013)]:[Official ID (62443-3-3 -2013)]],""))</f>
        <v/>
      </c>
      <c r="C3" t="str">
        <f t="array" ref="C3">_xlfn.TEXTJOIN("; ",TRUE,IF(Measure_62443_3_3[G 0.15 Eavesdropping]="M",Measure_62443_3_3[[Official ID (62443-3-3 -2013)]:[Official ID (62443-3-3 -2013)]],""))</f>
        <v/>
      </c>
      <c r="D3" t="str">
        <f t="array" ref="D3">_xlfn.TEXTJOIN("; ",TRUE,IF(Measure_62443_3_3[G 0.16 Theft of Devices, Storage Media and Documents]="M",Measure_62443_3_3[[Official ID (62443-3-3 -2013)]:[Official ID (62443-3-3 -2013)]],""))</f>
        <v/>
      </c>
      <c r="E3" t="str">
        <f t="array" ref="E3">_xlfn.TEXTJOIN("; ",TRUE,IF(Measure_62443_3_3[G 0.17 Loss of Devices, Storage Media and Documents]="M",Measure_62443_3_3[[Official ID (62443-3-3 -2013)]:[Official ID (62443-3-3 -2013)]],""))</f>
        <v/>
      </c>
      <c r="F3" t="str">
        <f t="array" ref="F3">_xlfn.TEXTJOIN("; ",TRUE,IF(Measure_62443_3_3[G 0.19 Disclosure of Sensitive Information]="M",Measure_62443_3_3[[Official ID (62443-3-3 -2013)]:[Official ID (62443-3-3 -2013)]],""))</f>
        <v/>
      </c>
      <c r="G3" t="str">
        <f t="array" ref="G3">_xlfn.TEXTJOIN("; ",TRUE,IF(Measure_62443_3_3[G 0.20 Information or Products from an Unreliable Source]="M",Measure_62443_3_3[[Official ID (62443-3-3 -2013)]:[Official ID (62443-3-3 -2013)]],""))</f>
        <v/>
      </c>
      <c r="H3" t="str">
        <f t="array" ref="H3">_xlfn.TEXTJOIN("; ",TRUE,IF(Measure_62443_3_3[G 0.21 Manipulation of Hardware or Software]="M",Measure_62443_3_3[[Official ID (62443-3-3 -2013)]:[Official ID (62443-3-3 -2013)]],""))</f>
        <v/>
      </c>
      <c r="I3" t="str">
        <f t="array" ref="I3">_xlfn.TEXTJOIN("; ",TRUE,IF(Measure_62443_3_3[G 0.22 Manipulation of Information]="M",Measure_62443_3_3[[Official ID (62443-3-3 -2013)]:[Official ID (62443-3-3 -2013)]],""))</f>
        <v/>
      </c>
      <c r="J3" t="str">
        <f t="array" ref="J3">_xlfn.TEXTJOIN("; ",TRUE,IF(Measure_62443_3_3[G 0.23 Unauthorised Access to IT Systems]="M",Measure_62443_3_3[[Official ID (62443-3-3 -2013)]:[Official ID (62443-3-3 -2013)]],""))</f>
        <v/>
      </c>
      <c r="K3" t="str">
        <f t="array" ref="K3">_xlfn.TEXTJOIN("; ",TRUE,IF(Measure_62443_3_3[G 0.24 Destruction of Devices or Storage Media]="M",Measure_62443_3_3[[Official ID (62443-3-3 -2013)]:[Official ID (62443-3-3 -2013)]],""))</f>
        <v/>
      </c>
      <c r="L3" t="str">
        <f t="array" ref="L3">_xlfn.TEXTJOIN("; ",TRUE,IF(Measure_62443_3_3[G 0.28 Software Vulnerabilities or Errors]="M",Measure_62443_3_3[[Official ID (62443-3-3 -2013)]:[Official ID (62443-3-3 -2013)]],""))</f>
        <v/>
      </c>
      <c r="M3" t="str">
        <f t="array" ref="M3">_xlfn.TEXTJOIN("; ",TRUE,IF(Measure_62443_3_3[G 0.30 Unauthorised Use or Administration of Devices and Systems]="M",Measure_62443_3_3[[Official ID (62443-3-3 -2013)]:[Official ID (62443-3-3 -2013)]],""))</f>
        <v/>
      </c>
      <c r="N3" t="str">
        <f t="array" ref="N3">_xlfn.TEXTJOIN("; ",TRUE,IF(Measure_62443_3_3[G 0.31 Incorrect Use or Administration of Devices and Systems]="M",Measure_62443_3_3[[Official ID (62443-3-3 -2013)]:[Official ID (62443-3-3 -2013)]],""))</f>
        <v/>
      </c>
      <c r="O3" t="str">
        <f t="array" ref="O3">_xlfn.TEXTJOIN("; ",TRUE,IF(Measure_62443_3_3[G 0.32 Misuse of Authorisation]="M",Measure_62443_3_3[[Official ID (62443-3-3 -2013)]:[Official ID (62443-3-3 -2013)]],""))</f>
        <v/>
      </c>
      <c r="P3" t="str">
        <f t="array" ref="P3">_xlfn.TEXTJOIN("; ",TRUE,IF(Measure_62443_3_3[G 0.35 Coercion, Blackmail or Corruption]="M",Measure_62443_3_3[[Official ID (62443-3-3 -2013)]:[Official ID (62443-3-3 -2013)]],""))</f>
        <v/>
      </c>
      <c r="Q3" t="str">
        <f t="array" ref="Q3">_xlfn.TEXTJOIN("; ",TRUE,IF(Measure_62443_3_3[G 0.36 Identity Theft]="M",Measure_62443_3_3[[Official ID (62443-3-3 -2013)]:[Official ID (62443-3-3 -2013)]],""))</f>
        <v/>
      </c>
      <c r="R3" t="str">
        <f t="array" ref="R3">_xlfn.TEXTJOIN("; ",TRUE,IF(Measure_62443_3_3[G 0.37 Repudiation of Actions]="M",Measure_62443_3_3[[Official ID (62443-3-3 -2013)]:[Official ID (62443-3-3 -2013)]],""))</f>
        <v/>
      </c>
      <c r="S3" t="str">
        <f t="array" ref="S3">_xlfn.TEXTJOIN("; ",TRUE,IF(Measure_62443_3_3[G 0.38 Misuse of Personal Information]="M",Measure_62443_3_3[[Official ID (62443-3-3 -2013)]:[Official ID (62443-3-3 -2013)]],""))</f>
        <v/>
      </c>
      <c r="T3" t="str">
        <f t="array" ref="T3">_xlfn.TEXTJOIN("; ",TRUE,IF(Measure_62443_3_3[G 0.39 Malware]="M",Measure_62443_3_3[[Official ID (62443-3-3 -2013)]:[Official ID (62443-3-3 -2013)]],""))</f>
        <v/>
      </c>
      <c r="U3" t="str">
        <f t="array" ref="U3">_xlfn.TEXTJOIN("; ",TRUE,IF(Measure_62443_3_3[G 0.40 Denial of Service]="M",Measure_62443_3_3[[Official ID (62443-3-3 -2013)]:[Official ID (62443-3-3 -2013)]],""))</f>
        <v/>
      </c>
      <c r="V3" t="str">
        <f t="array" ref="V3">_xlfn.TEXTJOIN("; ",TRUE,IF(Measure_62443_3_3[G 0.42 Social Engineering]="M",Measure_62443_3_3[[Official ID (62443-3-3 -2013)]:[Official ID (62443-3-3 -2013)]],""))</f>
        <v/>
      </c>
      <c r="W3" t="str">
        <f t="array" ref="W3">_xlfn.TEXTJOIN("; ",TRUE,IF(Measure_62443_3_3[G 0.43 Attack with Specially Crafted Messages]="M",Measure_62443_3_3[[Official ID (62443-3-3 -2013)]:[Official ID (62443-3-3 -2013)]],""))</f>
        <v/>
      </c>
      <c r="X3" t="str">
        <f t="array" ref="X3">_xlfn.TEXTJOIN("; ",TRUE,IF(Measure_62443_3_3[G 0.44 Unauthorised Entry to Premises]="M",Measure_62443_3_3[[Official ID (62443-3-3 -2013)]:[Official ID (62443-3-3 -2013)]],""))</f>
        <v/>
      </c>
      <c r="Y3" t="str">
        <f t="array" ref="Y3">_xlfn.TEXTJOIN("; ",TRUE,IF(Measure_62443_3_3[G 0.45 Data Loss]="M",Measure_62443_3_3[[Official ID (62443-3-3 -2013)]:[Official ID (62443-3-3 -2013)]],""))</f>
        <v/>
      </c>
      <c r="Z3" t="str">
        <f t="array" ref="Z3">_xlfn.TEXTJOIN("; ",TRUE,IF(Measure_62443_3_3[G 0.46 Loss of Integrity of Sensitive Information]="M",Measure_62443_3_3[[Official ID (62443-3-3 -2013)]:[Official ID (62443-3-3 -2013)]],""))</f>
        <v/>
      </c>
      <c r="AA3" t="str">
        <f t="array" ref="AA3">_xlfn.TEXTJOIN("; ",TRUE,IF(Measure_62443_3_3[G 0.47 Harmful Side Effects of IT-Supported Attacks]="M",Measure_62443_3_3[[Official ID (62443-3-3 -2013)]:[Official ID (62443-3-3 -2013)]],""))</f>
        <v/>
      </c>
      <c r="AB3" t="str">
        <f t="array" ref="AB3">_xlfn.TEXTJOIN("; ",TRUE,IF(Measure_62443_3_3[IND.1.2 Insufficient integration of OT into the security organisation]="M",Measure_62443_3_3[[Official ID (62443-3-3 -2013)]:[Official ID (62443-3-3 -2013)]],""))</f>
        <v/>
      </c>
      <c r="AC3" t="str">
        <f t="array" ref="AC3">_xlfn.TEXTJOIN("; ",TRUE,IF(Measure_62443_3_3[IND.1.3 Insufficient integration of OT into operational processes]="M",Measure_62443_3_3[[Official ID (62443-3-3 -2013)]:[Official ID (62443-3-3 -2013)]],""))</f>
        <v/>
      </c>
      <c r="AD3" t="str">
        <f t="array" ref="AD3">_xlfn.TEXTJOIN("; ",TRUE,IF(Measure_62443_3_3[IND.1.4 Insufficient access protection]="M",Measure_62443_3_3[[Official ID (62443-3-3 -2013)]:[Official ID (62443-3-3 -2013)]],""))</f>
        <v/>
      </c>
      <c r="AE3" t="str">
        <f t="array" ref="AE3">_xlfn.TEXTJOIN("; ",TRUE,IF(Measure_62443_3_3[IND.1.5 Unsecure project planning process/application development process]="M",Measure_62443_3_3[[Official ID (62443-3-3 -2013)]:[Official ID (62443-3-3 -2013)]],""))</f>
        <v/>
      </c>
      <c r="AF3" t="str">
        <f t="array" ref="AF3">_xlfn.TEXTJOIN("; ",TRUE,IF(Measure_62443_3_3[IND.1.6 Unsecure administration concept and remote administration]="M",Measure_62443_3_3[[Official ID (62443-3-3 -2013)]:[Official ID (62443-3-3 -2013)]],""))</f>
        <v/>
      </c>
      <c r="AG3" t="str">
        <f t="array" ref="AG3">_xlfn.TEXTJOIN("; ",TRUE,IF(Measure_62443_3_3[IND.1.7 Insufficient monitoring and detection procedures]="M",Measure_62443_3_3[[Official ID (62443-3-3 -2013)]:[Official ID (62443-3-3 -2013)]],""))</f>
        <v/>
      </c>
      <c r="AH3" t="str">
        <f t="array" ref="AH3">_xlfn.TEXTJOIN("; ",TRUE,IF(Measure_62443_3_3[IND.1.8 Insufficient test concept]="M",Measure_62443_3_3[[Official ID (62443-3-3 -2013)]:[Official ID (62443-3-3 -2013)]],""))</f>
        <v/>
      </c>
      <c r="AI3" t="str">
        <f t="array" ref="AI3">_xlfn.TEXTJOIN("; ",TRUE,IF(Measure_62443_3_3[IND.1.9 Insufficient life cycle concepts]="M",Measure_62443_3_3[[Official ID (62443-3-3 -2013)]:[Official ID (62443-3-3 -2013)]],""))</f>
        <v/>
      </c>
      <c r="AJ3" t="str">
        <f t="array" ref="AJ3">_xlfn.TEXTJOIN("; ",TRUE,IF(Measure_62443_3_3[IND.1.10 Insufficient security requirements for procurement]="M",Measure_62443_3_3[[Official ID (62443-3-3 -2013)]:[Official ID (62443-3-3 -2013)]],""))</f>
        <v/>
      </c>
      <c r="AK3" t="str">
        <f t="array" ref="AK3">_xlfn.TEXTJOIN("; ",TRUE,IF(Measure_62443_3_3[IND.1.11 Use of unsecure protocols]="M",Measure_62443_3_3[[Official ID (62443-3-3 -2013)]:[Official ID (62443-3-3 -2013)]],""))</f>
        <v/>
      </c>
      <c r="AL3" t="str">
        <f t="array" ref="AL3">_xlfn.TEXTJOIN("; ",TRUE,IF(Measure_62443_3_3[IND.1.12 Insecure configurations of components]="M",Measure_62443_3_3[[Official ID (62443-3-3 -2013)]:[Official ID (62443-3-3 -2013)]],""))</f>
        <v/>
      </c>
      <c r="AM3" t="str">
        <f t="array" ref="AM3">_xlfn.TEXTJOIN("; ",TRUE,IF(Measure_62443_3_3[IND.1.13 Dependencies of OT on IT networks]="M",Measure_62443_3_3[[Official ID (62443-3-3 -2013)]:[Official ID (62443-3-3 -2013)]],""))</f>
        <v/>
      </c>
      <c r="AN3" t="str">
        <f t="array" ref="AN3">_xlfn.TEXTJOIN("; ",TRUE,IF(Measure_62443_3_3[IND.2.1.2 Insufficient user and authorisation management]="M",Measure_62443_3_3[[Official ID (62443-3-3 -2013)]:[Official ID (62443-3-3 -2013)]],""))</f>
        <v/>
      </c>
      <c r="AO3" t="str">
        <f t="array" ref="AO3">_xlfn.TEXTJOIN("; ",TRUE,IF(Measure_62443_3_3[IND.2.1.3 Insufficient logging]="M",Measure_62443_3_3[[Official ID (62443-3-3 -2013)]:[Official ID (62443-3-3 -2013)]],""))</f>
        <v/>
      </c>
      <c r="AP3" t="str">
        <f t="array" ref="AP3">_xlfn.TEXTJOIN("; ",TRUE,IF(Measure_62443_3_3[IND.2.1.9 Manipulated firmware]="M",Measure_62443_3_3[[Official ID (62443-3-3 -2013)]:[Official ID (62443-3-3 -2013)]],""))</f>
        <v/>
      </c>
      <c r="AQ3" t="str">
        <f t="array" ref="AQ3">_xlfn.TEXTJOIN("; ",TRUE,IF(Measure_62443_3_3[IND.2.2.1 Incomplete documentation]="M",Measure_62443_3_3[[Official ID (62443-3-3 -2013)]:[Official ID (62443-3-3 -2013)]],""))</f>
        <v/>
      </c>
      <c r="AR3" t="str">
        <f t="array" ref="AR3">_xlfn.TEXTJOIN("; ",TRUE,IF(Measure_62443_3_3[IND.3.2.1 Incompletely documented remote maintenance access in the OT]="M",Measure_62443_3_3[[Official ID (62443-3-3 -2013)]:[Official ID (62443-3-3 -2013)]],""))</f>
        <v/>
      </c>
      <c r="AS3" t="str">
        <f t="array" ref="AS3">_xlfn.TEXTJOIN("; ",TRUE,IF(Measure_62443_3_3[IND.3.2.2 Insufficient availability due to dependencies on office and building IT]="M",Measure_62443_3_3[[Official ID (62443-3-3 -2013)]:[Official ID (62443-3-3 -2013)]],""))</f>
        <v/>
      </c>
      <c r="AT3" t="str">
        <f t="array" ref="AT3">_xlfn.TEXTJOIN("; ",TRUE,IF(Measure_62443_3_3[IND.3.2.3 Insufficient regulations for the use of OT remote maintenance access]="M",Measure_62443_3_3[[Official ID (62443-3-3 -2013)]:[Official ID (62443-3-3 -2013)]],""))</f>
        <v/>
      </c>
      <c r="AU3" t="str">
        <f t="array" ref="AU3">_xlfn.TEXTJOIN("; ",TRUE,IF(Measure_62443_3_3[IND.3.2.4 Insufficient human oversight over OT remote maintenance sessions]="M",Measure_62443_3_3[[Official ID (62443-3-3 -2013)]:[Official ID (62443-3-3 -2013)]],""))</f>
        <v/>
      </c>
      <c r="AV3" t="str">
        <f t="array" ref="AV3">_xlfn.TEXTJOIN("; ",TRUE,IF(Measure_62443_3_3[IND.3.2.5 Direct IP-based access to systems from insecure zones]="M",Measure_62443_3_3[[Official ID (62443-3-3 -2013)]:[Official ID (62443-3-3 -2013)]],""))</f>
        <v/>
      </c>
      <c r="AW3" t="str">
        <f t="array" ref="AW3">_xlfn.TEXTJOIN("; ",TRUE,IF(Measure_62443_3_3[IND.3.2.6 Insecure alternative OT remote maintenance access in the event of faults]="M",Measure_62443_3_3[[Official ID (62443-3-3 -2013)]:[Official ID (62443-3-3 -2013)]],""))</f>
        <v/>
      </c>
      <c r="AX3" t="str">
        <f t="array" ref="AX3">_xlfn.TEXTJOIN("; ",TRUE,IF(Measure_62443_3_3[IND.3.2.7 Insecure design of OT remote maintenance accesses]="M",Measure_62443_3_3[[Official ID (62443-3-3 -2013)]:[Official ID (62443-3-3 -2013)]],""))</f>
        <v/>
      </c>
      <c r="AY3" t="str">
        <f t="array" ref="AY3">_xlfn.TEXTJOIN("; ",TRUE,IF(Measure_62443_3_3[IND.3.2.8 Outdated technical concepts for OT remote maintenance access]="M",Measure_62443_3_3[[Official ID (62443-3-3 -2013)]:[Official ID (62443-3-3 -2013)]],""))</f>
        <v/>
      </c>
      <c r="AZ3" t="str">
        <f t="array" ref="AZ3">_xlfn.TEXTJOIN("; ",TRUE,IF(Measure_62443_3_3[CON.1.1 Insufficient key management for encryption]="M",Measure_62443_3_3[[Official ID (62443-3-3 -2013)]:[Official ID (62443-3-3 -2013)]],""))</f>
        <v/>
      </c>
      <c r="BA3" t="str">
        <f t="array" ref="BA3">_xlfn.TEXTJOIN("; ",TRUE,IF(Measure_62443_3_3[CON.1.8 Compromise of cryptographic keys]="M",Measure_62443_3_3[[Official ID (62443-3-3 -2013)]:[Official ID (62443-3-3 -2013)]],""))</f>
        <v/>
      </c>
      <c r="BB3" t="str">
        <f t="array" ref="BB3">_xlfn.TEXTJOIN("; ",TRUE,IF(Measure_62443_3_3[CON.1.9 Forged certificates]="M",Measure_62443_3_3[[Official ID (62443-3-3 -2013)]:[Official ID (62443-3-3 -2013)]],""))</f>
        <v/>
      </c>
      <c r="BC3" t="str">
        <f t="array" ref="BC3">_xlfn.TEXTJOIN("; ",TRUE,IF(Measure_62443_3_3[CON.3.1 Missing data backup]="M",Measure_62443_3_3[[Official ID (62443-3-3 -2013)]:[Official ID (62443-3-3 -2013)]],""))</f>
        <v/>
      </c>
      <c r="BD3" t="str">
        <f t="array" ref="BD3">_xlfn.TEXTJOIN("; ",TRUE,IF(Measure_62443_3_3[CON.3.2 Missing recovery tests]="M",Measure_62443_3_3[[Official ID (62443-3-3 -2013)]:[Official ID (62443-3-3 -2013)]],""))</f>
        <v/>
      </c>
      <c r="BE3" t="str">
        <f t="array" ref="BE3">_xlfn.TEXTJOIN("; ",TRUE,IF(Measure_62443_3_3[OPS.1.1.3.5 Problems with the automated distribution of patches and changes]="M",Measure_62443_3_3[[Official ID (62443-3-3 -2013)]:[Official ID (62443-3-3 -2013)]],""))</f>
        <v/>
      </c>
      <c r="BF3" t="str">
        <f t="array" ref="BF3">_xlfn.TEXTJOIN("; ",TRUE,IF(Measure_62443_3_3[OPS.1.1.3.6 Insufficient recovery options for patch and change management]="M",Measure_62443_3_3[[Official ID (62443-3-3 -2013)]:[Official ID (62443-3-3 -2013)]],""))</f>
        <v/>
      </c>
      <c r="BG3" t="str">
        <f t="array" ref="BG3">_xlfn.TEXTJOIN("; ",TRUE,IF(Measure_62443_3_3[OPS.1.1.3.8 Manipulation of data and tools during patch and change management]="M",Measure_62443_3_3[[Official ID (62443-3-3 -2013)]:[Official ID (62443-3-3 -2013)]],""))</f>
        <v/>
      </c>
      <c r="BH3" t="str">
        <f t="array" ref="BH3">_xlfn.TEXTJOIN("; ",TRUE,IF(Measure_62443_3_3[Official ID (62443-3-3 -2013)]="M",Measure_62443_3_3[[Official ID (62443-3-3 -2013)]:[Official ID (62443-3-3 -2013)]],""))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/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Unsecure project planning process/application development process</v>
      </c>
      <c r="B37" t="str">
        <v/>
      </c>
    </row>
    <row r="38" spans="1:2">
      <c r="A38" t="str">
        <v>IND.1.6 Unsecure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unsecure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H66"/>
  <sheetViews>
    <sheetView workbookViewId="0">
      <selection activeCell="AM8" sqref="AM8"/>
    </sheetView>
  </sheetViews>
  <sheetFormatPr baseColWidth="10" defaultColWidth="11.44140625" defaultRowHeight="14.4"/>
  <cols>
    <col min="1" max="46" width="3.6640625" bestFit="1" customWidth="1"/>
    <col min="47" max="47" width="3.6640625" customWidth="1"/>
    <col min="48" max="60" width="3.109375" style="23" customWidth="1"/>
  </cols>
  <sheetData>
    <row r="1" spans="1:60" ht="18.600000000000001" customHeight="1">
      <c r="A1" s="12" t="s">
        <v>573</v>
      </c>
    </row>
    <row r="2" spans="1:60" ht="311.10000000000002" customHeight="1">
      <c r="A2" s="23" t="str">
        <f t="array" ref="A2:BH2">Measure_62443_2_1[[#Headers],[G 0.13 Interception of Compromising Interference Signals]:[OPS.1.1.3.8 Manipulation of data and tools during patch and change management]]</f>
        <v>G 0.13 Interception of Compromising Interference Signals</v>
      </c>
      <c r="B2" s="23" t="str">
        <v xml:space="preserve">G 0.14 Interception of Information / Espionage </v>
      </c>
      <c r="C2" s="23" t="str">
        <v>G 0.15 Eavesdropping</v>
      </c>
      <c r="D2" s="23" t="str">
        <v>G 0.16 Theft of Devices, Storage Media and Documents</v>
      </c>
      <c r="E2" s="23" t="str">
        <v>G 0.17 Loss of Devices, Storage Media and Documents</v>
      </c>
      <c r="F2" s="23" t="str">
        <v>G 0.19 Disclosure of Sensitive Information</v>
      </c>
      <c r="G2" s="23" t="str">
        <v>G 0.20 Information or Products from an Unreliable Source</v>
      </c>
      <c r="H2" s="23" t="str">
        <v>G 0.21 Manipulation of Hardware or Software</v>
      </c>
      <c r="I2" s="23" t="str">
        <v>G 0.22 Manipulation of Information</v>
      </c>
      <c r="J2" s="23" t="str">
        <v>G 0.23 Unauthorised Access to IT Systems</v>
      </c>
      <c r="K2" s="23" t="str">
        <v>G 0.24 Destruction of Devices or Storage Media</v>
      </c>
      <c r="L2" s="23" t="str">
        <v>G 0.28 Software Vulnerabilities or Errors</v>
      </c>
      <c r="M2" s="23" t="str">
        <v>G 0.30 Unauthorised Use or Administration of Devices and Systems</v>
      </c>
      <c r="N2" s="23" t="str">
        <v>G 0.31 Incorrect Use or Administration of Devices and Systems</v>
      </c>
      <c r="O2" s="23" t="str">
        <v>G 0.32 Misuse of Authorisation</v>
      </c>
      <c r="P2" s="23" t="str">
        <v>G 0.35 Coercion, Blackmail or Corruption</v>
      </c>
      <c r="Q2" s="23" t="str">
        <v>G 0.36 Identity Theft</v>
      </c>
      <c r="R2" s="23" t="str">
        <v>G 0.37 Repudiation of Actions</v>
      </c>
      <c r="S2" s="23" t="str">
        <v>G 0.38 Misuse of Personal Information</v>
      </c>
      <c r="T2" s="23" t="str">
        <v>G 0.39 Malware</v>
      </c>
      <c r="U2" s="23" t="str">
        <v>G 0.40 Denial of Service</v>
      </c>
      <c r="V2" s="23" t="str">
        <v>G 0.42 Social Engineering</v>
      </c>
      <c r="W2" s="23" t="str">
        <v>G 0.43 Attack with Specially Crafted Messages</v>
      </c>
      <c r="X2" s="23" t="str">
        <v>G 0.44 Unauthorised Entry to Premises</v>
      </c>
      <c r="Y2" s="23" t="str">
        <v>G 0.45 Data Loss</v>
      </c>
      <c r="Z2" s="23" t="str">
        <v>G 0.46 Loss of Integrity of Sensitive Information</v>
      </c>
      <c r="AA2" s="23" t="str">
        <v>G 0.47 Harmful Side Effects of IT-Supported Attacks</v>
      </c>
      <c r="AB2" s="23" t="str">
        <v>IND.1.2 Insufficient integration of OT into the security organisation</v>
      </c>
      <c r="AC2" s="23" t="str">
        <v>IND.1.3 Insufficient integration of OT into operational processes</v>
      </c>
      <c r="AD2" s="23" t="str">
        <v>IND.1.4 Insufficient access protection</v>
      </c>
      <c r="AE2" s="23" t="str">
        <v>IND.1.5 Unsecure project planning process/application development process</v>
      </c>
      <c r="AF2" s="23" t="str">
        <v>IND.1.6 Unsecure administration concept and remote administration</v>
      </c>
      <c r="AG2" s="23" t="str">
        <v>IND.1.7 Insufficient monitoring and detection procedures</v>
      </c>
      <c r="AH2" s="23" t="str">
        <v>IND.1.8 Insufficient test concept</v>
      </c>
      <c r="AI2" s="23" t="str">
        <v>IND.1.9 Insufficient life cycle concepts</v>
      </c>
      <c r="AJ2" s="23" t="str">
        <v>IND.1.10 Insufficient security requirements for procurement</v>
      </c>
      <c r="AK2" s="23" t="str">
        <v>IND.1.11 Use of unsecure protocols</v>
      </c>
      <c r="AL2" s="23" t="str">
        <v>IND.1.12 Insecure configurations of components</v>
      </c>
      <c r="AM2" s="23" t="str">
        <v>IND.1.13 Dependencies of OT on IT networks</v>
      </c>
      <c r="AN2" s="23" t="str">
        <v>IND.2.1.2 Insufficient user and authorisation management</v>
      </c>
      <c r="AO2" s="23" t="str">
        <v>IND.2.1.3 Insufficient logging</v>
      </c>
      <c r="AP2" s="23" t="str">
        <v>IND.2.1.9 Manipulated firmware</v>
      </c>
      <c r="AQ2" s="23" t="str">
        <v>IND.2.2.1 Incomplete documentation</v>
      </c>
      <c r="AR2" s="23" t="str">
        <v>IND.3.2.1 Incompletely documented remote maintenance access in the OT</v>
      </c>
      <c r="AS2" s="23" t="str">
        <v>IND.3.2.2 Insufficient availability due to dependencies on office and building IT</v>
      </c>
      <c r="AT2" s="23" t="str">
        <v>IND.3.2.3 Insufficient regulations for the use of OT remote maintenance access</v>
      </c>
      <c r="AU2" s="23" t="str">
        <v>IND.3.2.4 Insufficient human oversight over OT remote maintenance sessions</v>
      </c>
      <c r="AV2" s="23" t="str">
        <v>IND.3.2.5 Direct IP-based access to systems from insecure zones</v>
      </c>
      <c r="AW2" s="23" t="str">
        <v>IND.3.2.6 Insecure alternative OT remote maintenance access in the event of faults</v>
      </c>
      <c r="AX2" s="23" t="str">
        <v>IND.3.2.7 Insecure design of OT remote maintenance accesses</v>
      </c>
      <c r="AY2" s="23" t="str">
        <v>IND.3.2.8 Outdated technical concepts for OT remote maintenance access</v>
      </c>
      <c r="AZ2" s="23" t="str">
        <v>CON.1.1 Insufficient key management for encryption</v>
      </c>
      <c r="BA2" s="23" t="str">
        <v>CON.1.8 Compromise of cryptographic keys</v>
      </c>
      <c r="BB2" s="23" t="str">
        <v>CON.1.9 Forged certificates</v>
      </c>
      <c r="BC2" s="23" t="str">
        <v>CON.3.1 Missing data backup</v>
      </c>
      <c r="BD2" s="23" t="str">
        <v>CON.3.2 Missing recovery tests</v>
      </c>
      <c r="BE2" s="23" t="str">
        <v>OPS.1.1.3.5 Problems with the automated distribution of patches and changes</v>
      </c>
      <c r="BF2" s="23" t="str">
        <v>OPS.1.1.3.6 Insufficient recovery options for patch and change management</v>
      </c>
      <c r="BG2" s="23" t="str">
        <v>OPS.1.1.3.8 Manipulation of data and tools during patch and change management</v>
      </c>
      <c r="BH2" s="23" t="e">
        <v>#N/A</v>
      </c>
    </row>
    <row r="3" spans="1:60">
      <c r="A3" t="str">
        <f t="array" ref="A3">_xlfn.TEXTJOIN("; ",TRUE,IF(Measure_62443_2_1[G 0.13 Interception of Compromising Interference Signals]="X",Measure_62443_2_1[[Official ID (62443-2-1 -2020)]:[Official ID (62443-2-1 -2020)]],""))</f>
        <v/>
      </c>
      <c r="B3" t="str">
        <f t="array" ref="B3">_xlfn.TEXTJOIN("; ",TRUE,IF(Measure_62443_2_1[G 0.14 Interception of Information / Espionage ]="X",Measure_62443_2_1[[Official ID (62443-2-1 -2020)]:[Official ID (62443-2-1 -2020)]],""))</f>
        <v/>
      </c>
      <c r="C3" t="str">
        <f t="array" ref="C3">_xlfn.TEXTJOIN("; ",TRUE,IF(Measure_62443_2_1[G 0.15 Eavesdropping]="X",Measure_62443_2_1[[Official ID (62443-2-1 -2020)]:[Official ID (62443-2-1 -2020)]],""))</f>
        <v/>
      </c>
      <c r="D3" t="str">
        <f t="array" ref="D3">_xlfn.TEXTJOIN("; ",TRUE,IF(Measure_62443_2_1[G 0.16 Theft of Devices, Storage Media and Documents]="X",Measure_62443_2_1[[Official ID (62443-2-1 -2020)]:[Official ID (62443-2-1 -2020)]],""))</f>
        <v/>
      </c>
      <c r="E3" t="str">
        <f t="array" ref="E3">_xlfn.TEXTJOIN("; ",TRUE,IF(Measure_62443_2_1[G 0.17 Loss of Devices, Storage Media and Documents]="X",Measure_62443_2_1[[Official ID (62443-2-1 -2020)]:[Official ID (62443-2-1 -2020)]],""))</f>
        <v/>
      </c>
      <c r="F3" t="str">
        <f t="array" ref="F3">_xlfn.TEXTJOIN("; ",TRUE,IF(Measure_62443_2_1[G 0.19 Disclosure of Sensitive Information]="X",Measure_62443_2_1[[Official ID (62443-2-1 -2020)]:[Official ID (62443-2-1 -2020)]],""))</f>
        <v/>
      </c>
      <c r="G3" t="str">
        <f t="array" ref="G3">_xlfn.TEXTJOIN("; ",TRUE,IF(Measure_62443_2_1[G 0.20 Information or Products from an Unreliable Source]="X",Measure_62443_2_1[[Official ID (62443-2-1 -2020)]:[Official ID (62443-2-1 -2020)]],""))</f>
        <v/>
      </c>
      <c r="H3" t="str">
        <f t="array" ref="H3">_xlfn.TEXTJOIN("; ",TRUE,IF(Measure_62443_2_1[G 0.21 Manipulation of Hardware or Software]="X",Measure_62443_2_1[[Official ID (62443-2-1 -2020)]:[Official ID (62443-2-1 -2020)]],""))</f>
        <v/>
      </c>
      <c r="I3" t="str">
        <f t="array" ref="I3">_xlfn.TEXTJOIN("; ",TRUE,IF(Measure_62443_2_1[G 0.22 Manipulation of Information]="X",Measure_62443_2_1[[Official ID (62443-2-1 -2020)]:[Official ID (62443-2-1 -2020)]],""))</f>
        <v/>
      </c>
      <c r="J3" t="str">
        <f t="array" ref="J3">_xlfn.TEXTJOIN("; ",TRUE,IF(Measure_62443_2_1[G 0.23 Unauthorised Access to IT Systems]="X",Measure_62443_2_1[[Official ID (62443-2-1 -2020)]:[Official ID (62443-2-1 -2020)]],""))</f>
        <v/>
      </c>
      <c r="K3" t="str">
        <f t="array" ref="K3">_xlfn.TEXTJOIN("; ",TRUE,IF(Measure_62443_2_1[G 0.24 Destruction of Devices or Storage Media]="X",Measure_62443_2_1[[Official ID (62443-2-1 -2020)]:[Official ID (62443-2-1 -2020)]],""))</f>
        <v/>
      </c>
      <c r="L3" t="str">
        <f t="array" ref="L3">_xlfn.TEXTJOIN("; ",TRUE,IF(Measure_62443_2_1[G 0.28 Software Vulnerabilities or Errors]="X",Measure_62443_2_1[[Official ID (62443-2-1 -2020)]:[Official ID (62443-2-1 -2020)]],""))</f>
        <v/>
      </c>
      <c r="M3" t="str">
        <f t="array" ref="M3">_xlfn.TEXTJOIN("; ",TRUE,IF(Measure_62443_2_1[G 0.30 Unauthorised Use or Administration of Devices and Systems]="X",Measure_62443_2_1[[Official ID (62443-2-1 -2020)]:[Official ID (62443-2-1 -2020)]],""))</f>
        <v/>
      </c>
      <c r="N3" t="str">
        <f t="array" ref="N3">_xlfn.TEXTJOIN("; ",TRUE,IF(Measure_62443_2_1[G 0.31 Incorrect Use or Administration of Devices and Systems]="X",Measure_62443_2_1[[Official ID (62443-2-1 -2020)]:[Official ID (62443-2-1 -2020)]],""))</f>
        <v/>
      </c>
      <c r="O3" t="str">
        <f t="array" ref="O3">_xlfn.TEXTJOIN("; ",TRUE,IF(Measure_62443_2_1[G 0.32 Misuse of Authorisation]="X",Measure_62443_2_1[[Official ID (62443-2-1 -2020)]:[Official ID (62443-2-1 -2020)]],""))</f>
        <v/>
      </c>
      <c r="P3" t="str">
        <f t="array" ref="P3">_xlfn.TEXTJOIN("; ",TRUE,IF(Measure_62443_2_1[G 0.35 Coercion, Blackmail or Corruption]="X",Measure_62443_2_1[[Official ID (62443-2-1 -2020)]:[Official ID (62443-2-1 -2020)]],""))</f>
        <v/>
      </c>
      <c r="Q3" t="str">
        <f t="array" ref="Q3">_xlfn.TEXTJOIN("; ",TRUE,IF(Measure_62443_2_1[G 0.36 Identity Theft]="X",Measure_62443_2_1[[Official ID (62443-2-1 -2020)]:[Official ID (62443-2-1 -2020)]],""))</f>
        <v/>
      </c>
      <c r="R3" t="str">
        <f t="array" ref="R3">_xlfn.TEXTJOIN("; ",TRUE,IF(Measure_62443_2_1[G 0.37 Repudiation of Actions]="X",Measure_62443_2_1[[Official ID (62443-2-1 -2020)]:[Official ID (62443-2-1 -2020)]],""))</f>
        <v/>
      </c>
      <c r="S3" t="str">
        <f t="array" ref="S3">_xlfn.TEXTJOIN("; ",TRUE,IF(Measure_62443_2_1[G 0.38 Misuse of Personal Information]="X",Measure_62443_2_1[[Official ID (62443-2-1 -2020)]:[Official ID (62443-2-1 -2020)]],""))</f>
        <v/>
      </c>
      <c r="T3" t="str">
        <f t="array" ref="T3">_xlfn.TEXTJOIN("; ",TRUE,IF(Measure_62443_2_1[G 0.39 Malware]="X",Measure_62443_2_1[[Official ID (62443-2-1 -2020)]:[Official ID (62443-2-1 -2020)]],""))</f>
        <v/>
      </c>
      <c r="U3" t="str">
        <f t="array" ref="U3">_xlfn.TEXTJOIN("; ",TRUE,IF(Measure_62443_2_1[G 0.40 Denial of Service]="X",Measure_62443_2_1[[Official ID (62443-2-1 -2020)]:[Official ID (62443-2-1 -2020)]],""))</f>
        <v/>
      </c>
      <c r="V3" t="str">
        <f t="array" ref="V3">_xlfn.TEXTJOIN("; ",TRUE,IF(Measure_62443_2_1[G 0.42 Social Engineering]="X",Measure_62443_2_1[[Official ID (62443-2-1 -2020)]:[Official ID (62443-2-1 -2020)]],""))</f>
        <v/>
      </c>
      <c r="W3" t="str">
        <f t="array" ref="W3">_xlfn.TEXTJOIN("; ",TRUE,IF(Measure_62443_2_1[G 0.43 Attack with Specially Crafted Messages]="X",Measure_62443_2_1[[Official ID (62443-2-1 -2020)]:[Official ID (62443-2-1 -2020)]],""))</f>
        <v/>
      </c>
      <c r="X3" t="str">
        <f t="array" ref="X3">_xlfn.TEXTJOIN("; ",TRUE,IF(Measure_62443_2_1[G 0.44 Unauthorised Entry to Premises]="X",Measure_62443_2_1[[Official ID (62443-2-1 -2020)]:[Official ID (62443-2-1 -2020)]],""))</f>
        <v/>
      </c>
      <c r="Y3" t="str">
        <f t="array" ref="Y3">_xlfn.TEXTJOIN("; ",TRUE,IF(Measure_62443_2_1[G 0.45 Data Loss]="X",Measure_62443_2_1[[Official ID (62443-2-1 -2020)]:[Official ID (62443-2-1 -2020)]],""))</f>
        <v/>
      </c>
      <c r="Z3" t="str">
        <f t="array" ref="Z3">_xlfn.TEXTJOIN("; ",TRUE,IF(Measure_62443_2_1[G 0.46 Loss of Integrity of Sensitive Information]="X",Measure_62443_2_1[[Official ID (62443-2-1 -2020)]:[Official ID (62443-2-1 -2020)]],""))</f>
        <v/>
      </c>
      <c r="AA3" t="str">
        <f t="array" ref="AA3">_xlfn.TEXTJOIN("; ",TRUE,IF(Measure_62443_2_1[G 0.47 Harmful Side Effects of IT-Supported Attacks]="X",Measure_62443_2_1[[Official ID (62443-2-1 -2020)]:[Official ID (62443-2-1 -2020)]],""))</f>
        <v/>
      </c>
      <c r="AB3" t="str">
        <f t="array" ref="AB3">_xlfn.TEXTJOIN("; ",TRUE,IF(Measure_62443_2_1[IND.1.2 Insufficient integration of OT into the security organisation]="X",Measure_62443_2_1[[Official ID (62443-2-1 -2020)]:[Official ID (62443-2-1 -2020)]],""))</f>
        <v/>
      </c>
      <c r="AC3" t="str">
        <f t="array" ref="AC3">_xlfn.TEXTJOIN("; ",TRUE,IF(Measure_62443_2_1[IND.1.3 Insufficient integration of OT into operational processes]="X",Measure_62443_2_1[[Official ID (62443-2-1 -2020)]:[Official ID (62443-2-1 -2020)]],""))</f>
        <v/>
      </c>
      <c r="AD3" t="str">
        <f t="array" ref="AD3">_xlfn.TEXTJOIN("; ",TRUE,IF(Measure_62443_2_1[IND.1.4 Insufficient access protection]="X",Measure_62443_2_1[[Official ID (62443-2-1 -2020)]:[Official ID (62443-2-1 -2020)]],""))</f>
        <v/>
      </c>
      <c r="AE3" t="str">
        <f t="array" ref="AE3">_xlfn.TEXTJOIN("; ",TRUE,IF(Measure_62443_2_1[IND.1.5 Unsecure project planning process/application development process]="X",Measure_62443_2_1[[Official ID (62443-2-1 -2020)]:[Official ID (62443-2-1 -2020)]],""))</f>
        <v/>
      </c>
      <c r="AF3" t="str">
        <f t="array" ref="AF3">_xlfn.TEXTJOIN("; ",TRUE,IF(Measure_62443_2_1[IND.1.6 Unsecure administration concept and remote administration]="X",Measure_62443_2_1[[Official ID (62443-2-1 -2020)]:[Official ID (62443-2-1 -2020)]],""))</f>
        <v/>
      </c>
      <c r="AG3" t="str">
        <f t="array" ref="AG3">_xlfn.TEXTJOIN("; ",TRUE,IF(Measure_62443_2_1[IND.1.7 Insufficient monitoring and detection procedures]="X",Measure_62443_2_1[[Official ID (62443-2-1 -2020)]:[Official ID (62443-2-1 -2020)]],""))</f>
        <v/>
      </c>
      <c r="AH3" t="str">
        <f t="array" ref="AH3">_xlfn.TEXTJOIN("; ",TRUE,IF(Measure_62443_2_1[IND.1.8 Insufficient test concept]="X",Measure_62443_2_1[[Official ID (62443-2-1 -2020)]:[Official ID (62443-2-1 -2020)]],""))</f>
        <v/>
      </c>
      <c r="AI3" t="str">
        <f t="array" ref="AI3">_xlfn.TEXTJOIN("; ",TRUE,IF(Measure_62443_2_1[IND.1.9 Insufficient life cycle concepts]="X",Measure_62443_2_1[[Official ID (62443-2-1 -2020)]:[Official ID (62443-2-1 -2020)]],""))</f>
        <v/>
      </c>
      <c r="AJ3" t="str">
        <f t="array" ref="AJ3">_xlfn.TEXTJOIN("; ",TRUE,IF(Measure_62443_2_1[IND.1.10 Insufficient security requirements for procurement]="X",Measure_62443_2_1[[Official ID (62443-2-1 -2020)]:[Official ID (62443-2-1 -2020)]],""))</f>
        <v/>
      </c>
      <c r="AK3" t="str">
        <f t="array" ref="AK3">_xlfn.TEXTJOIN("; ",TRUE,IF(Measure_62443_2_1[IND.1.11 Use of unsecure protocols]="X",Measure_62443_2_1[[Official ID (62443-2-1 -2020)]:[Official ID (62443-2-1 -2020)]],""))</f>
        <v/>
      </c>
      <c r="AL3" t="str">
        <f t="array" ref="AL3">_xlfn.TEXTJOIN("; ",TRUE,IF(Measure_62443_2_1[IND.1.12 Insecure configurations of components]="X",Measure_62443_2_1[[Official ID (62443-2-1 -2020)]:[Official ID (62443-2-1 -2020)]],""))</f>
        <v/>
      </c>
      <c r="AM3" t="str">
        <f t="array" ref="AM3">_xlfn.TEXTJOIN("; ",TRUE,IF(Measure_62443_2_1[IND.1.13 Dependencies of OT on IT networks]="X",Measure_62443_2_1[[Official ID (62443-2-1 -2020)]:[Official ID (62443-2-1 -2020)]],""))</f>
        <v/>
      </c>
      <c r="AN3" t="str">
        <f t="array" ref="AN3">_xlfn.TEXTJOIN("; ",TRUE,IF(Measure_62443_2_1[IND.2.1.2 Insufficient user and authorisation management]="X",Measure_62443_2_1[[Official ID (62443-2-1 -2020)]:[Official ID (62443-2-1 -2020)]],""))</f>
        <v/>
      </c>
      <c r="AO3" t="str">
        <f t="array" ref="AO3">_xlfn.TEXTJOIN("; ",TRUE,IF(Measure_62443_2_1[IND.2.1.3 Insufficient logging]="X",Measure_62443_2_1[[Official ID (62443-2-1 -2020)]:[Official ID (62443-2-1 -2020)]],""))</f>
        <v/>
      </c>
      <c r="AP3" t="str">
        <f t="array" ref="AP3">_xlfn.TEXTJOIN("; ",TRUE,IF(Measure_62443_2_1[IND.2.1.9 Manipulated firmware]="X",Measure_62443_2_1[[Official ID (62443-2-1 -2020)]:[Official ID (62443-2-1 -2020)]],""))</f>
        <v/>
      </c>
      <c r="AQ3" t="str">
        <f t="array" ref="AQ3">_xlfn.TEXTJOIN("; ",TRUE,IF(Measure_62443_2_1[IND.2.2.1 Incomplete documentation]="X",Measure_62443_2_1[[Official ID (62443-2-1 -2020)]:[Official ID (62443-2-1 -2020)]],""))</f>
        <v/>
      </c>
      <c r="AR3" t="str">
        <f t="array" ref="AR3">_xlfn.TEXTJOIN("; ",TRUE,IF(Measure_62443_2_1[IND.3.2.1 Incompletely documented remote maintenance access in the OT]="X",Measure_62443_2_1[[Official ID (62443-2-1 -2020)]:[Official ID (62443-2-1 -2020)]],""))</f>
        <v/>
      </c>
      <c r="AS3" t="str">
        <f t="array" ref="AS3">_xlfn.TEXTJOIN("; ",TRUE,IF(Measure_62443_2_1[IND.3.2.2 Insufficient availability due to dependencies on office and building IT]="X",Measure_62443_2_1[[Official ID (62443-2-1 -2020)]:[Official ID (62443-2-1 -2020)]],""))</f>
        <v/>
      </c>
      <c r="AT3" t="str">
        <f t="array" ref="AT3">_xlfn.TEXTJOIN("; ",TRUE,IF(Measure_62443_2_1[IND.3.2.3 Insufficient regulations for the use of OT remote maintenance access]="X",Measure_62443_2_1[[Official ID (62443-2-1 -2020)]:[Official ID (62443-2-1 -2020)]],""))</f>
        <v/>
      </c>
      <c r="AU3" t="str">
        <f t="array" ref="AU3">_xlfn.TEXTJOIN("; ",TRUE,IF(Measure_62443_2_1[IND.3.2.4 Insufficient human oversight over OT remote maintenance sessions]="X",Measure_62443_2_1[[Official ID (62443-2-1 -2020)]:[Official ID (62443-2-1 -2020)]],""))</f>
        <v/>
      </c>
      <c r="AV3" t="str">
        <f t="array" ref="AV3">_xlfn.TEXTJOIN("; ",TRUE,IF(Measure_62443_2_1[IND.3.2.5 Direct IP-based access to systems from insecure zones]="X",Measure_62443_2_1[[Official ID (62443-2-1 -2020)]:[Official ID (62443-2-1 -2020)]],""))</f>
        <v/>
      </c>
      <c r="AW3" t="str">
        <f t="array" ref="AW3">_xlfn.TEXTJOIN("; ",TRUE,IF(Measure_62443_2_1[IND.3.2.6 Insecure alternative OT remote maintenance access in the event of faults]="X",Measure_62443_2_1[[Official ID (62443-2-1 -2020)]:[Official ID (62443-2-1 -2020)]],""))</f>
        <v/>
      </c>
      <c r="AX3" t="str">
        <f t="array" ref="AX3">_xlfn.TEXTJOIN("; ",TRUE,IF(Measure_62443_2_1[IND.3.2.7 Insecure design of OT remote maintenance accesses]="X",Measure_62443_2_1[[Official ID (62443-2-1 -2020)]:[Official ID (62443-2-1 -2020)]],""))</f>
        <v/>
      </c>
      <c r="AY3" t="str">
        <f t="array" ref="AY3">_xlfn.TEXTJOIN("; ",TRUE,IF(Measure_62443_2_1[IND.3.2.8 Outdated technical concepts for OT remote maintenance access]="X",Measure_62443_2_1[[Official ID (62443-2-1 -2020)]:[Official ID (62443-2-1 -2020)]],""))</f>
        <v/>
      </c>
      <c r="AZ3" t="str">
        <f t="array" ref="AZ3">_xlfn.TEXTJOIN("; ",TRUE,IF(Measure_62443_2_1[CON.1.1 Insufficient key management for encryption]="X",Measure_62443_2_1[[Official ID (62443-2-1 -2020)]:[Official ID (62443-2-1 -2020)]],""))</f>
        <v/>
      </c>
      <c r="BA3" t="str">
        <f t="array" ref="BA3">_xlfn.TEXTJOIN("; ",TRUE,IF(Measure_62443_2_1[CON.1.8 Compromise of cryptographic keys]="X",Measure_62443_2_1[[Official ID (62443-2-1 -2020)]:[Official ID (62443-2-1 -2020)]],""))</f>
        <v/>
      </c>
      <c r="BB3" t="str">
        <f t="array" ref="BB3">_xlfn.TEXTJOIN("; ",TRUE,IF(Measure_62443_2_1[CON.1.9 Forged certificates]="X",Measure_62443_2_1[[Official ID (62443-2-1 -2020)]:[Official ID (62443-2-1 -2020)]],""))</f>
        <v/>
      </c>
      <c r="BC3" t="str">
        <f t="array" ref="BC3">_xlfn.TEXTJOIN("; ",TRUE,IF(Measure_62443_2_1[CON.3.1 Missing data backup]="X",Measure_62443_2_1[[Official ID (62443-2-1 -2020)]:[Official ID (62443-2-1 -2020)]],""))</f>
        <v/>
      </c>
      <c r="BD3" t="str">
        <f t="array" ref="BD3">_xlfn.TEXTJOIN("; ",TRUE,IF(Measure_62443_2_1[CON.3.2 Missing recovery tests]="X",Measure_62443_2_1[[Official ID (62443-2-1 -2020)]:[Official ID (62443-2-1 -2020)]],""))</f>
        <v/>
      </c>
      <c r="BE3" t="str">
        <f t="array" ref="BE3">_xlfn.TEXTJOIN("; ",TRUE,IF(Measure_62443_2_1[OPS.1.1.3.5 Problems with the automated distribution of patches and changes]="X",Measure_62443_2_1[[Official ID (62443-2-1 -2020)]:[Official ID (62443-2-1 -2020)]],""))</f>
        <v/>
      </c>
      <c r="BF3" t="str">
        <f t="array" ref="BF3">_xlfn.TEXTJOIN("; ",TRUE,IF(Measure_62443_2_1[OPS.1.1.3.6 Insufficient recovery options for patch and change management]="X",Measure_62443_2_1[[Official ID (62443-2-1 -2020)]:[Official ID (62443-2-1 -2020)]],""))</f>
        <v/>
      </c>
      <c r="BG3" t="str">
        <f t="array" ref="BG3">_xlfn.TEXTJOIN("; ",TRUE,IF(Measure_62443_2_1[OPS.1.1.3.8 Manipulation of data and tools during patch and change management]="X",Measure_62443_2_1[[Official ID (62443-2-1 -2020)]:[Official ID (62443-2-1 -2020)]],""))</f>
        <v/>
      </c>
      <c r="BH3" t="str">
        <f t="array" ref="BH3">_xlfn.TEXTJOIN("; ",TRUE,IF(Measure_62443_2_1[Official ID (62443-2-1 -2020)]="X",Measure_62443_2_1[[Official ID (62443-2-1 -2020)]:[Official ID (62443-2-1 -2020)]],""))</f>
        <v/>
      </c>
    </row>
    <row r="7" spans="1:60">
      <c r="A7" t="str">
        <f t="array" ref="A7:A66">TRANSPOSE(_xlfn.ANCHORARRAY(A2))</f>
        <v>G 0.13 Interception of Compromising Interference Signals</v>
      </c>
      <c r="B7" t="str">
        <f t="array" ref="B7:B66">TRANSPOSE(A3:BH3)</f>
        <v/>
      </c>
    </row>
    <row r="8" spans="1:60">
      <c r="A8" t="str">
        <v xml:space="preserve">G 0.14 Interception of Information / Espionage </v>
      </c>
      <c r="B8" t="str">
        <v/>
      </c>
    </row>
    <row r="9" spans="1:60">
      <c r="A9" t="str">
        <v>G 0.15 Eavesdropping</v>
      </c>
      <c r="B9" t="str">
        <v/>
      </c>
    </row>
    <row r="10" spans="1:60">
      <c r="A10" t="str">
        <v>G 0.16 Theft of Devices, Storage Media and Documents</v>
      </c>
      <c r="B10" t="str">
        <v/>
      </c>
    </row>
    <row r="11" spans="1:60">
      <c r="A11" t="str">
        <v>G 0.17 Loss of Devices, Storage Media and Documents</v>
      </c>
      <c r="B11" t="str">
        <v/>
      </c>
    </row>
    <row r="12" spans="1:60">
      <c r="A12" t="str">
        <v>G 0.19 Disclosure of Sensitive Information</v>
      </c>
      <c r="B12" t="str">
        <v/>
      </c>
    </row>
    <row r="13" spans="1:60">
      <c r="A13" t="str">
        <v>G 0.20 Information or Products from an Unreliable Source</v>
      </c>
      <c r="B13" t="str">
        <v/>
      </c>
    </row>
    <row r="14" spans="1:60">
      <c r="A14" t="str">
        <v>G 0.21 Manipulation of Hardware or Software</v>
      </c>
      <c r="B14" t="str">
        <v/>
      </c>
    </row>
    <row r="15" spans="1:60">
      <c r="A15" t="str">
        <v>G 0.22 Manipulation of Information</v>
      </c>
      <c r="B15" t="str">
        <v/>
      </c>
    </row>
    <row r="16" spans="1:60">
      <c r="A16" t="str">
        <v>G 0.23 Unauthorised Access to IT Systems</v>
      </c>
      <c r="B16" t="str">
        <v/>
      </c>
    </row>
    <row r="17" spans="1:2">
      <c r="A17" t="str">
        <v>G 0.24 Destruction of Devices or Storage Media</v>
      </c>
      <c r="B17" t="str">
        <v/>
      </c>
    </row>
    <row r="18" spans="1:2">
      <c r="A18" t="str">
        <v>G 0.28 Software Vulnerabilities or Errors</v>
      </c>
      <c r="B18" t="str">
        <v/>
      </c>
    </row>
    <row r="19" spans="1:2">
      <c r="A19" t="str">
        <v>G 0.30 Unauthorised Use or Administration of Devices and Systems</v>
      </c>
      <c r="B19" t="str">
        <v/>
      </c>
    </row>
    <row r="20" spans="1:2">
      <c r="A20" t="str">
        <v>G 0.31 Incorrect Use or Administration of Devices and Systems</v>
      </c>
      <c r="B20" t="str">
        <v/>
      </c>
    </row>
    <row r="21" spans="1:2">
      <c r="A21" t="str">
        <v>G 0.32 Misuse of Authorisation</v>
      </c>
      <c r="B21" t="str">
        <v/>
      </c>
    </row>
    <row r="22" spans="1:2">
      <c r="A22" t="str">
        <v>G 0.35 Coercion, Blackmail or Corruption</v>
      </c>
      <c r="B22" t="str">
        <v/>
      </c>
    </row>
    <row r="23" spans="1:2">
      <c r="A23" t="str">
        <v>G 0.36 Identity Theft</v>
      </c>
      <c r="B23" t="str">
        <v/>
      </c>
    </row>
    <row r="24" spans="1:2">
      <c r="A24" t="str">
        <v>G 0.37 Repudiation of Actions</v>
      </c>
      <c r="B24" t="str">
        <v/>
      </c>
    </row>
    <row r="25" spans="1:2">
      <c r="A25" t="str">
        <v>G 0.38 Misuse of Personal Information</v>
      </c>
      <c r="B25" t="str">
        <v/>
      </c>
    </row>
    <row r="26" spans="1:2">
      <c r="A26" t="str">
        <v>G 0.39 Malware</v>
      </c>
      <c r="B26" t="str">
        <v/>
      </c>
    </row>
    <row r="27" spans="1:2">
      <c r="A27" t="str">
        <v>G 0.40 Denial of Service</v>
      </c>
      <c r="B27" t="str">
        <v/>
      </c>
    </row>
    <row r="28" spans="1:2">
      <c r="A28" t="str">
        <v>G 0.42 Social Engineering</v>
      </c>
      <c r="B28" t="str">
        <v/>
      </c>
    </row>
    <row r="29" spans="1:2">
      <c r="A29" t="str">
        <v>G 0.43 Attack with Specially Crafted Messages</v>
      </c>
      <c r="B29" t="str">
        <v/>
      </c>
    </row>
    <row r="30" spans="1:2">
      <c r="A30" t="str">
        <v>G 0.44 Unauthorised Entry to Premises</v>
      </c>
      <c r="B30" t="str">
        <v/>
      </c>
    </row>
    <row r="31" spans="1:2">
      <c r="A31" t="str">
        <v>G 0.45 Data Loss</v>
      </c>
      <c r="B31" t="str">
        <v/>
      </c>
    </row>
    <row r="32" spans="1:2">
      <c r="A32" t="str">
        <v>G 0.46 Loss of Integrity of Sensitive Information</v>
      </c>
      <c r="B32" t="str">
        <v/>
      </c>
    </row>
    <row r="33" spans="1:2">
      <c r="A33" t="str">
        <v>G 0.47 Harmful Side Effects of IT-Supported Attacks</v>
      </c>
      <c r="B33" t="str">
        <v/>
      </c>
    </row>
    <row r="34" spans="1:2">
      <c r="A34" t="str">
        <v>IND.1.2 Insufficient integration of OT into the security organisation</v>
      </c>
      <c r="B34" t="str">
        <v/>
      </c>
    </row>
    <row r="35" spans="1:2">
      <c r="A35" t="str">
        <v>IND.1.3 Insufficient integration of OT into operational processes</v>
      </c>
      <c r="B35" t="str">
        <v/>
      </c>
    </row>
    <row r="36" spans="1:2">
      <c r="A36" t="str">
        <v>IND.1.4 Insufficient access protection</v>
      </c>
      <c r="B36" t="str">
        <v/>
      </c>
    </row>
    <row r="37" spans="1:2">
      <c r="A37" t="str">
        <v>IND.1.5 Unsecure project planning process/application development process</v>
      </c>
      <c r="B37" t="str">
        <v/>
      </c>
    </row>
    <row r="38" spans="1:2">
      <c r="A38" t="str">
        <v>IND.1.6 Unsecure administration concept and remote administration</v>
      </c>
      <c r="B38" t="str">
        <v/>
      </c>
    </row>
    <row r="39" spans="1:2">
      <c r="A39" t="str">
        <v>IND.1.7 Insufficient monitoring and detection procedures</v>
      </c>
      <c r="B39" t="str">
        <v/>
      </c>
    </row>
    <row r="40" spans="1:2">
      <c r="A40" t="str">
        <v>IND.1.8 Insufficient test concept</v>
      </c>
      <c r="B40" t="str">
        <v/>
      </c>
    </row>
    <row r="41" spans="1:2">
      <c r="A41" t="str">
        <v>IND.1.9 Insufficient life cycle concepts</v>
      </c>
      <c r="B41" t="str">
        <v/>
      </c>
    </row>
    <row r="42" spans="1:2">
      <c r="A42" t="str">
        <v>IND.1.10 Insufficient security requirements for procurement</v>
      </c>
      <c r="B42" t="str">
        <v/>
      </c>
    </row>
    <row r="43" spans="1:2">
      <c r="A43" t="str">
        <v>IND.1.11 Use of unsecure protocols</v>
      </c>
      <c r="B43" t="str">
        <v/>
      </c>
    </row>
    <row r="44" spans="1:2">
      <c r="A44" t="str">
        <v>IND.1.12 Insecure configurations of components</v>
      </c>
      <c r="B44" t="str">
        <v/>
      </c>
    </row>
    <row r="45" spans="1:2">
      <c r="A45" t="str">
        <v>IND.1.13 Dependencies of OT on IT networks</v>
      </c>
      <c r="B45" t="str">
        <v/>
      </c>
    </row>
    <row r="46" spans="1:2">
      <c r="A46" t="str">
        <v>IND.2.1.2 Insufficient user and authorisation management</v>
      </c>
      <c r="B46" t="str">
        <v/>
      </c>
    </row>
    <row r="47" spans="1:2">
      <c r="A47" t="str">
        <v>IND.2.1.3 Insufficient logging</v>
      </c>
      <c r="B47" t="str">
        <v/>
      </c>
    </row>
    <row r="48" spans="1:2">
      <c r="A48" t="str">
        <v>IND.2.1.9 Manipulated firmware</v>
      </c>
      <c r="B48" t="str">
        <v/>
      </c>
    </row>
    <row r="49" spans="1:2">
      <c r="A49" t="str">
        <v>IND.2.2.1 Incomplete documentation</v>
      </c>
      <c r="B49" t="str">
        <v/>
      </c>
    </row>
    <row r="50" spans="1:2">
      <c r="A50" t="str">
        <v>IND.3.2.1 Incompletely documented remote maintenance access in the OT</v>
      </c>
      <c r="B50" t="str">
        <v/>
      </c>
    </row>
    <row r="51" spans="1:2">
      <c r="A51" t="str">
        <v>IND.3.2.2 Insufficient availability due to dependencies on office and building IT</v>
      </c>
      <c r="B51" t="str">
        <v/>
      </c>
    </row>
    <row r="52" spans="1:2">
      <c r="A52" t="str">
        <v>IND.3.2.3 Insufficient regulations for the use of OT remote maintenance access</v>
      </c>
      <c r="B52" t="str">
        <v/>
      </c>
    </row>
    <row r="53" spans="1:2">
      <c r="A53" t="str">
        <v>IND.3.2.4 Insufficient human oversight over OT remote maintenance sessions</v>
      </c>
      <c r="B53" t="str">
        <v/>
      </c>
    </row>
    <row r="54" spans="1:2">
      <c r="A54" t="str">
        <v>IND.3.2.5 Direct IP-based access to systems from insecure zones</v>
      </c>
      <c r="B54" t="str">
        <v/>
      </c>
    </row>
    <row r="55" spans="1:2">
      <c r="A55" t="str">
        <v>IND.3.2.6 Insecure alternative OT remote maintenance access in the event of faults</v>
      </c>
      <c r="B55" t="str">
        <v/>
      </c>
    </row>
    <row r="56" spans="1:2">
      <c r="A56" t="str">
        <v>IND.3.2.7 Insecure design of OT remote maintenance accesses</v>
      </c>
      <c r="B56" t="str">
        <v/>
      </c>
    </row>
    <row r="57" spans="1:2">
      <c r="A57" t="str">
        <v>IND.3.2.8 Outdated technical concepts for OT remote maintenance access</v>
      </c>
      <c r="B57" t="str">
        <v/>
      </c>
    </row>
    <row r="58" spans="1:2">
      <c r="A58" t="str">
        <v>CON.1.1 Insufficient key management for encryption</v>
      </c>
      <c r="B58" t="str">
        <v/>
      </c>
    </row>
    <row r="59" spans="1:2">
      <c r="A59" t="str">
        <v>CON.1.8 Compromise of cryptographic keys</v>
      </c>
      <c r="B59" t="str">
        <v/>
      </c>
    </row>
    <row r="60" spans="1:2">
      <c r="A60" t="str">
        <v>CON.1.9 Forged certificates</v>
      </c>
      <c r="B60" t="str">
        <v/>
      </c>
    </row>
    <row r="61" spans="1:2">
      <c r="A61" t="str">
        <v>CON.3.1 Missing data backup</v>
      </c>
      <c r="B61" t="str">
        <v/>
      </c>
    </row>
    <row r="62" spans="1:2">
      <c r="A62" t="str">
        <v>CON.3.2 Missing recovery tests</v>
      </c>
      <c r="B62" t="str">
        <v/>
      </c>
    </row>
    <row r="63" spans="1:2">
      <c r="A63" t="str">
        <v>OPS.1.1.3.5 Problems with the automated distribution of patches and changes</v>
      </c>
      <c r="B63" t="str">
        <v/>
      </c>
    </row>
    <row r="64" spans="1:2">
      <c r="A64" t="str">
        <v>OPS.1.1.3.6 Insufficient recovery options for patch and change management</v>
      </c>
      <c r="B64" t="str">
        <v/>
      </c>
    </row>
    <row r="65" spans="1:2">
      <c r="A65" t="str">
        <v>OPS.1.1.3.8 Manipulation of data and tools during patch and change management</v>
      </c>
      <c r="B65" t="str">
        <v/>
      </c>
    </row>
    <row r="66" spans="1:2">
      <c r="A66" t="e">
        <v>#N/A</v>
      </c>
      <c r="B66" t="str">
        <v/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"/>
  <dimension ref="A2:L71"/>
  <sheetViews>
    <sheetView workbookViewId="0">
      <selection activeCell="H2" sqref="H2:I7"/>
    </sheetView>
  </sheetViews>
  <sheetFormatPr baseColWidth="10" defaultColWidth="11.5546875" defaultRowHeight="14.4"/>
  <cols>
    <col min="1" max="1" width="29" customWidth="1"/>
    <col min="8" max="8" width="14.33203125" customWidth="1"/>
  </cols>
  <sheetData>
    <row r="2" spans="1:12">
      <c r="A2" t="s">
        <v>574</v>
      </c>
      <c r="B2" t="s">
        <v>171</v>
      </c>
      <c r="D2" t="s">
        <v>413</v>
      </c>
      <c r="H2" t="s">
        <v>38</v>
      </c>
      <c r="I2" t="s">
        <v>469</v>
      </c>
      <c r="K2" t="s">
        <v>413</v>
      </c>
      <c r="L2" t="s">
        <v>469</v>
      </c>
    </row>
    <row r="3" spans="1:12">
      <c r="A3" t="s">
        <v>575</v>
      </c>
      <c r="B3" s="1" t="s">
        <v>47</v>
      </c>
      <c r="D3" t="s">
        <v>83</v>
      </c>
      <c r="H3" t="s">
        <v>167</v>
      </c>
      <c r="I3">
        <v>1</v>
      </c>
      <c r="K3" t="s">
        <v>85</v>
      </c>
      <c r="L3">
        <v>1</v>
      </c>
    </row>
    <row r="4" spans="1:12">
      <c r="A4" t="s">
        <v>576</v>
      </c>
      <c r="B4" s="1" t="s">
        <v>48</v>
      </c>
      <c r="D4" t="s">
        <v>87</v>
      </c>
      <c r="H4" t="s">
        <v>464</v>
      </c>
      <c r="I4">
        <v>2</v>
      </c>
      <c r="K4" t="s">
        <v>81</v>
      </c>
      <c r="L4">
        <v>2</v>
      </c>
    </row>
    <row r="5" spans="1:12">
      <c r="A5" t="s">
        <v>577</v>
      </c>
      <c r="B5" s="2" t="s">
        <v>49</v>
      </c>
      <c r="D5" t="s">
        <v>81</v>
      </c>
      <c r="H5" t="s">
        <v>465</v>
      </c>
      <c r="I5">
        <v>3</v>
      </c>
      <c r="K5" t="s">
        <v>87</v>
      </c>
      <c r="L5">
        <v>3</v>
      </c>
    </row>
    <row r="6" spans="1:12">
      <c r="A6" t="s">
        <v>578</v>
      </c>
      <c r="B6" s="1" t="s">
        <v>50</v>
      </c>
      <c r="D6" t="s">
        <v>85</v>
      </c>
      <c r="H6" t="s">
        <v>466</v>
      </c>
      <c r="I6">
        <v>4</v>
      </c>
      <c r="K6" t="s">
        <v>83</v>
      </c>
      <c r="L6">
        <v>4</v>
      </c>
    </row>
    <row r="7" spans="1:12">
      <c r="B7" s="2" t="s">
        <v>51</v>
      </c>
      <c r="H7" t="s">
        <v>467</v>
      </c>
      <c r="I7">
        <v>5</v>
      </c>
    </row>
    <row r="8" spans="1:12">
      <c r="B8" s="2" t="s">
        <v>52</v>
      </c>
    </row>
    <row r="9" spans="1:12">
      <c r="B9" s="2" t="s">
        <v>53</v>
      </c>
      <c r="H9" t="s">
        <v>469</v>
      </c>
      <c r="I9" t="s">
        <v>38</v>
      </c>
      <c r="K9" t="s">
        <v>469</v>
      </c>
      <c r="L9" t="s">
        <v>413</v>
      </c>
    </row>
    <row r="10" spans="1:12">
      <c r="H10">
        <f t="shared" ref="H10:H14" si="0">I3</f>
        <v>1</v>
      </c>
      <c r="I10" t="str">
        <f>H3</f>
        <v>Low</v>
      </c>
      <c r="K10">
        <f t="shared" ref="K10:K13" si="1">L3</f>
        <v>1</v>
      </c>
      <c r="L10" t="str">
        <f t="shared" ref="L10:L13" si="2">K3</f>
        <v>D</v>
      </c>
    </row>
    <row r="11" spans="1:12">
      <c r="H11">
        <f t="shared" si="0"/>
        <v>2</v>
      </c>
      <c r="I11" t="str">
        <f t="shared" ref="I11:I14" si="3">H4</f>
        <v>Medium</v>
      </c>
      <c r="K11">
        <f t="shared" si="1"/>
        <v>2</v>
      </c>
      <c r="L11" t="str">
        <f t="shared" si="2"/>
        <v>C</v>
      </c>
    </row>
    <row r="12" spans="1:12">
      <c r="H12">
        <f t="shared" si="0"/>
        <v>3</v>
      </c>
      <c r="I12" t="str">
        <f t="shared" si="3"/>
        <v>Significant</v>
      </c>
      <c r="K12">
        <f t="shared" si="1"/>
        <v>3</v>
      </c>
      <c r="L12" t="str">
        <f t="shared" si="2"/>
        <v>B</v>
      </c>
    </row>
    <row r="13" spans="1:12">
      <c r="H13">
        <f t="shared" si="0"/>
        <v>4</v>
      </c>
      <c r="I13" t="str">
        <f t="shared" si="3"/>
        <v>High</v>
      </c>
      <c r="K13">
        <f t="shared" si="1"/>
        <v>4</v>
      </c>
      <c r="L13" t="str">
        <f t="shared" si="2"/>
        <v>A</v>
      </c>
    </row>
    <row r="14" spans="1:12">
      <c r="H14">
        <f t="shared" si="0"/>
        <v>5</v>
      </c>
      <c r="I14" t="str">
        <f t="shared" si="3"/>
        <v>Very high</v>
      </c>
    </row>
    <row r="60" spans="1:1" ht="26.1" customHeight="1">
      <c r="A60" s="13" t="s">
        <v>579</v>
      </c>
    </row>
    <row r="61" spans="1:1">
      <c r="A61" s="14" t="s">
        <v>580</v>
      </c>
    </row>
    <row r="62" spans="1:1">
      <c r="A62" s="14" t="s">
        <v>581</v>
      </c>
    </row>
    <row r="63" spans="1:1">
      <c r="A63" s="14" t="s">
        <v>582</v>
      </c>
    </row>
    <row r="64" spans="1:1">
      <c r="A64" s="14" t="s">
        <v>583</v>
      </c>
    </row>
    <row r="65" spans="1:1">
      <c r="A65" s="14" t="s">
        <v>584</v>
      </c>
    </row>
    <row r="66" spans="1:1">
      <c r="A66" s="14" t="s">
        <v>585</v>
      </c>
    </row>
    <row r="67" spans="1:1">
      <c r="A67" s="14" t="s">
        <v>586</v>
      </c>
    </row>
    <row r="68" spans="1:1">
      <c r="A68" s="14" t="s">
        <v>587</v>
      </c>
    </row>
    <row r="69" spans="1:1">
      <c r="A69" s="14" t="s">
        <v>588</v>
      </c>
    </row>
    <row r="70" spans="1:1">
      <c r="A70" s="14" t="s">
        <v>589</v>
      </c>
    </row>
    <row r="71" spans="1:1">
      <c r="A71" s="15" t="s">
        <v>590</v>
      </c>
    </row>
  </sheetData>
  <pageMargins left="0.7" right="0.7" top="0.78740157499999996" bottom="0.78740157499999996" header="0.3" footer="0.3"/>
  <pageSetup paperSize="9" orientation="portrait"/>
  <tableParts count="5">
    <tablePart r:id="rId1"/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499984740745262"/>
  </sheetPr>
  <dimension ref="A1:M4"/>
  <sheetViews>
    <sheetView workbookViewId="0">
      <selection sqref="A1:M1"/>
    </sheetView>
  </sheetViews>
  <sheetFormatPr baseColWidth="10" defaultColWidth="11.44140625" defaultRowHeight="14.4"/>
  <cols>
    <col min="1" max="2" width="17" customWidth="1"/>
    <col min="3" max="3" width="32.88671875" customWidth="1"/>
    <col min="4" max="4" width="22.33203125" customWidth="1"/>
  </cols>
  <sheetData>
    <row r="1" spans="1:13" ht="36.6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ht="21">
      <c r="A2" s="60" t="s">
        <v>24</v>
      </c>
      <c r="B2" s="59"/>
      <c r="C2" s="59"/>
      <c r="D2" s="59"/>
    </row>
    <row r="3" spans="1:13">
      <c r="A3" t="s">
        <v>25</v>
      </c>
      <c r="B3" t="s">
        <v>26</v>
      </c>
      <c r="C3" t="s">
        <v>27</v>
      </c>
      <c r="D3" t="s">
        <v>28</v>
      </c>
    </row>
    <row r="4" spans="1:13">
      <c r="A4" s="19" t="s">
        <v>29</v>
      </c>
      <c r="B4" s="22"/>
      <c r="D4" s="133"/>
    </row>
  </sheetData>
  <mergeCells count="1">
    <mergeCell ref="A1:M1"/>
  </mergeCells>
  <pageMargins left="0.7" right="0.7" top="0.78740157499999996" bottom="0.78740157499999996" header="0.3" footer="0.3"/>
  <pageSetup paperSize="9" orientation="portrait" horizontalDpi="0" verticalDpi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6">
    <tabColor theme="2" tint="-0.499984740745262"/>
  </sheetPr>
  <dimension ref="A1:M8"/>
  <sheetViews>
    <sheetView zoomScaleNormal="100" workbookViewId="0">
      <selection activeCell="B31" sqref="B31"/>
    </sheetView>
  </sheetViews>
  <sheetFormatPr baseColWidth="10" defaultColWidth="11.44140625" defaultRowHeight="14.4"/>
  <cols>
    <col min="1" max="1" width="48.5546875" style="10" bestFit="1" customWidth="1"/>
    <col min="2" max="2" width="58.5546875" style="10" bestFit="1" customWidth="1"/>
    <col min="3" max="4" width="11.44140625" style="9" customWidth="1"/>
    <col min="5" max="16384" width="11.44140625" style="9"/>
  </cols>
  <sheetData>
    <row r="1" spans="1:13" ht="36.6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</row>
    <row r="2" spans="1:13" ht="23.4">
      <c r="A2" s="25" t="s">
        <v>30</v>
      </c>
      <c r="B2" s="25" t="s">
        <v>31</v>
      </c>
    </row>
    <row r="4" spans="1:13">
      <c r="A4" s="35"/>
      <c r="B4" s="11" t="s">
        <v>32</v>
      </c>
    </row>
    <row r="5" spans="1:13">
      <c r="A5" s="11" t="s">
        <v>33</v>
      </c>
    </row>
    <row r="6" spans="1:13">
      <c r="A6" s="11" t="s">
        <v>34</v>
      </c>
    </row>
    <row r="7" spans="1:13">
      <c r="A7" s="11" t="s">
        <v>35</v>
      </c>
    </row>
    <row r="8" spans="1:13" ht="28.8">
      <c r="A8" s="11" t="s">
        <v>36</v>
      </c>
    </row>
  </sheetData>
  <mergeCells count="1">
    <mergeCell ref="A1:M1"/>
  </mergeCells>
  <pageMargins left="0.7" right="0.7" top="0.78740157499999996" bottom="0.78740157499999996" header="0.3" footer="0.3"/>
  <pageSetup paperSize="9" orientation="portrait" horizontalDpi="4294967294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tabColor rgb="FF00B0F0"/>
    <pageSetUpPr fitToPage="1"/>
  </sheetPr>
  <dimension ref="A1:AH65"/>
  <sheetViews>
    <sheetView zoomScaleNormal="100" workbookViewId="0">
      <pane xSplit="8" ySplit="5" topLeftCell="I6" activePane="bottomRight" state="frozenSplit"/>
      <selection pane="topRight" activeCell="J1" sqref="J1"/>
      <selection pane="bottomLeft" activeCell="A5" sqref="A5"/>
      <selection pane="bottomRight" activeCell="X3" sqref="X1:AG1048576"/>
    </sheetView>
  </sheetViews>
  <sheetFormatPr baseColWidth="10" defaultColWidth="11.44140625" defaultRowHeight="14.4"/>
  <cols>
    <col min="1" max="1" width="76.6640625" style="10" customWidth="1"/>
    <col min="2" max="7" width="5.6640625" style="10" customWidth="1"/>
    <col min="8" max="8" width="5.6640625" style="9" customWidth="1"/>
    <col min="9" max="9" width="10.109375" style="9" customWidth="1"/>
    <col min="10" max="12" width="11" style="9" customWidth="1"/>
    <col min="13" max="13" width="6.6640625" style="9" customWidth="1"/>
    <col min="14" max="14" width="6.6640625" style="9" hidden="1" customWidth="1"/>
    <col min="15" max="15" width="6.6640625" style="9" customWidth="1"/>
    <col min="16" max="16" width="6.6640625" style="9" hidden="1" customWidth="1"/>
    <col min="17" max="17" width="6.6640625" style="9" customWidth="1"/>
    <col min="18" max="18" width="6.6640625" style="9" hidden="1" customWidth="1"/>
    <col min="19" max="19" width="6.6640625" style="9" customWidth="1"/>
    <col min="20" max="22" width="11" style="9" hidden="1" customWidth="1"/>
    <col min="23" max="23" width="11" style="9" customWidth="1"/>
    <col min="24" max="26" width="3.6640625" style="9" hidden="1" customWidth="1"/>
    <col min="27" max="33" width="11" style="9" hidden="1" customWidth="1"/>
    <col min="34" max="34" width="40.6640625" style="9" customWidth="1"/>
    <col min="35" max="36" width="11.44140625" style="9" customWidth="1"/>
    <col min="37" max="16384" width="11.44140625" style="9"/>
  </cols>
  <sheetData>
    <row r="1" spans="1:34" ht="28.95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179"/>
      <c r="AB1" s="179"/>
      <c r="AC1" s="179"/>
      <c r="AD1" s="179"/>
      <c r="AE1" s="179"/>
      <c r="AF1" s="179"/>
      <c r="AG1" s="179"/>
    </row>
    <row r="2" spans="1:34" ht="29.1" customHeight="1">
      <c r="A2" s="207" t="s">
        <v>37</v>
      </c>
      <c r="B2" s="208"/>
      <c r="C2" s="208"/>
      <c r="D2" s="208"/>
      <c r="E2" s="208"/>
      <c r="F2" s="208"/>
      <c r="G2" s="208"/>
      <c r="H2" s="209"/>
      <c r="I2" s="211" t="s">
        <v>38</v>
      </c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180"/>
      <c r="AB2" s="180"/>
      <c r="AC2" s="180"/>
      <c r="AD2" s="180"/>
      <c r="AE2" s="180"/>
      <c r="AF2" s="180"/>
      <c r="AG2" s="180"/>
      <c r="AH2" s="69"/>
    </row>
    <row r="3" spans="1:34" ht="29.1" customHeight="1" thickBot="1">
      <c r="A3" s="61" t="s">
        <v>39</v>
      </c>
      <c r="B3" s="210" t="s">
        <v>40</v>
      </c>
      <c r="C3" s="208"/>
      <c r="D3" s="208"/>
      <c r="E3" s="208"/>
      <c r="F3" s="208"/>
      <c r="G3" s="208"/>
      <c r="H3" s="209"/>
      <c r="I3" s="135" t="s">
        <v>41</v>
      </c>
      <c r="J3" s="210" t="s">
        <v>42</v>
      </c>
      <c r="K3" s="210"/>
      <c r="L3" s="210"/>
      <c r="M3" s="210" t="s">
        <v>43</v>
      </c>
      <c r="N3" s="210"/>
      <c r="O3" s="210"/>
      <c r="P3" s="210"/>
      <c r="Q3" s="210"/>
      <c r="R3" s="210"/>
      <c r="S3" s="210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9" t="s">
        <v>44</v>
      </c>
    </row>
    <row r="4" spans="1:34" ht="29.4" thickBot="1">
      <c r="A4" s="61"/>
      <c r="B4" s="210"/>
      <c r="C4" s="208"/>
      <c r="D4" s="208"/>
      <c r="E4" s="208"/>
      <c r="F4" s="208"/>
      <c r="G4" s="208"/>
      <c r="H4" s="209"/>
      <c r="I4" s="135"/>
      <c r="J4" s="135"/>
      <c r="K4" s="135"/>
      <c r="L4" s="198" t="s">
        <v>45</v>
      </c>
      <c r="M4" s="199" t="str">
        <f>VLOOKUP(MAX(Attacker_Threat_Zone[Impact
C-Value]),Impact_Mapping_Reverse[],2,FALSE)</f>
        <v>C</v>
      </c>
      <c r="N4" s="200"/>
      <c r="O4" s="199" t="str">
        <f>VLOOKUP(MAX(Attacker_Threat_Zone[Impact
I -Value]),Impact_Mapping_Reverse[],2,FALSE)</f>
        <v>A</v>
      </c>
      <c r="P4" s="200"/>
      <c r="Q4" s="201" t="str">
        <f>VLOOKUP(MAX(Attacker_Threat_Zone[Impact
A-Value]),Impact_Mapping_Reverse[],2,FALSE)</f>
        <v>B</v>
      </c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</row>
    <row r="5" spans="1:34" ht="43.5" customHeight="1">
      <c r="A5" s="48" t="s">
        <v>46</v>
      </c>
      <c r="B5" s="49" t="s">
        <v>47</v>
      </c>
      <c r="C5" s="49" t="s">
        <v>48</v>
      </c>
      <c r="D5" s="49" t="s">
        <v>49</v>
      </c>
      <c r="E5" s="49" t="s">
        <v>50</v>
      </c>
      <c r="F5" s="49" t="s">
        <v>51</v>
      </c>
      <c r="G5" s="49" t="s">
        <v>52</v>
      </c>
      <c r="H5" s="49" t="s">
        <v>53</v>
      </c>
      <c r="I5" s="50" t="s">
        <v>54</v>
      </c>
      <c r="J5" s="191" t="s">
        <v>55</v>
      </c>
      <c r="K5" s="191" t="s">
        <v>56</v>
      </c>
      <c r="L5" s="195" t="s">
        <v>57</v>
      </c>
      <c r="M5" s="196" t="s">
        <v>58</v>
      </c>
      <c r="N5" s="197" t="s">
        <v>59</v>
      </c>
      <c r="O5" s="196" t="s">
        <v>60</v>
      </c>
      <c r="P5" s="197" t="s">
        <v>61</v>
      </c>
      <c r="Q5" s="196" t="s">
        <v>62</v>
      </c>
      <c r="R5" s="184" t="s">
        <v>63</v>
      </c>
      <c r="S5" s="192" t="s">
        <v>64</v>
      </c>
      <c r="T5" s="184" t="s">
        <v>65</v>
      </c>
      <c r="U5" s="184" t="s">
        <v>66</v>
      </c>
      <c r="V5" s="184" t="s">
        <v>67</v>
      </c>
      <c r="W5" s="192" t="s">
        <v>68</v>
      </c>
      <c r="X5" s="184" t="s">
        <v>69</v>
      </c>
      <c r="Y5" s="184" t="s">
        <v>70</v>
      </c>
      <c r="Z5" s="184" t="s">
        <v>71</v>
      </c>
      <c r="AA5" s="184" t="s">
        <v>72</v>
      </c>
      <c r="AB5" s="184" t="s">
        <v>73</v>
      </c>
      <c r="AC5" s="184" t="s">
        <v>74</v>
      </c>
      <c r="AD5" s="184" t="s">
        <v>75</v>
      </c>
      <c r="AE5" s="184" t="s">
        <v>76</v>
      </c>
      <c r="AF5" s="184" t="s">
        <v>77</v>
      </c>
      <c r="AG5" s="184" t="s">
        <v>78</v>
      </c>
      <c r="AH5" s="70" t="s">
        <v>79</v>
      </c>
    </row>
    <row r="6" spans="1:34">
      <c r="A6" s="47" t="s">
        <v>80</v>
      </c>
      <c r="B6" s="51" t="s">
        <v>81</v>
      </c>
      <c r="C6" s="51" t="s">
        <v>81</v>
      </c>
      <c r="D6" s="51" t="s">
        <v>9</v>
      </c>
      <c r="E6" s="51" t="s">
        <v>81</v>
      </c>
      <c r="F6" s="51" t="s">
        <v>81</v>
      </c>
      <c r="G6" s="51" t="s">
        <v>9</v>
      </c>
      <c r="H6" s="51" t="s">
        <v>9</v>
      </c>
      <c r="I6" s="52" t="s">
        <v>82</v>
      </c>
      <c r="J6" s="189">
        <v>1</v>
      </c>
      <c r="K6" s="189">
        <v>2</v>
      </c>
      <c r="L6" s="190">
        <f>IF(Attacker_Threat_Zone[[#This Row],[Relevance]]="No"," ",MAX(Attacker_Threat_Zone[[#This Row],[Exposure]]+Attacker_Threat_Zone[[#This Row],[Vulnerability]]-1,1))</f>
        <v>2</v>
      </c>
      <c r="M6" s="189" t="s">
        <v>81</v>
      </c>
      <c r="N6" s="190">
        <f>IFERROR(VLOOKUP(Attacker_Threat_Zone[[#This Row],[Impact
C]],Impact_Mapping[],2,FALSE),0)</f>
        <v>2</v>
      </c>
      <c r="O6" s="189" t="s">
        <v>83</v>
      </c>
      <c r="P6" s="190">
        <f>IFERROR(VLOOKUP(Attacker_Threat_Zone[[#This Row],[Impact
I]],Impact_Mapping[],2,FALSE),0)</f>
        <v>4</v>
      </c>
      <c r="Q6" s="189"/>
      <c r="R6" s="190">
        <f>IFERROR(VLOOKUP(Attacker_Threat_Zone[[#This Row],[Impact
A]],Impact_Mapping[],2,FALSE),0)</f>
        <v>0</v>
      </c>
      <c r="S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>A</v>
      </c>
      <c r="T6" s="190" t="str" cm="1">
        <f t="array" ref="T6">INDEX(Risk!$C$4:$F$8,Attacker_Threat_Zone[[#This Row],[Likelihood]],VLOOKUP(Attacker_Threat_Zone[[#This Row],[Impact
C]],Impact_Mapping[],2,FALSE))</f>
        <v>Low</v>
      </c>
      <c r="U6" s="190" t="str" cm="1">
        <f t="array" ref="U6">INDEX(Risk!$C$4:$F$8,Attacker_Threat_Zone[[#This Row],[Likelihood]],VLOOKUP(Attacker_Threat_Zone[[#This Row],[Impact
I]],Impact_Mapping[],2,FALSE))</f>
        <v>Significant</v>
      </c>
      <c r="V6" s="190" t="e" cm="1">
        <f t="array" ref="V6">INDEX(Risk!$C$4:$F$8,Attacker_Threat_Zone[[#This Row],[Likelihood]],VLOOKUP(Attacker_Threat_Zone[[#This Row],[Impact
A]],Impact_Mapping[],2,FALSE))</f>
        <v>#N/A</v>
      </c>
      <c r="W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>Significant</v>
      </c>
      <c r="X6" s="188">
        <f>IF(Attacker_Threat_Zone[[#This Row],[Relevance]]="No"," ",MAX(VLOOKUP(Attacker_Threat_Zone[[#This Row],[Risk
C]],SL_Mapping[],2,FALSE),0))</f>
        <v>0</v>
      </c>
      <c r="Y6" s="188">
        <f>IF(Attacker_Threat_Zone[[#This Row],[Relevance]]="No"," ",MAX(VLOOKUP(Attacker_Threat_Zone[[#This Row],[Risk
I]],SL_Mapping[],2,FALSE),0))</f>
        <v>2</v>
      </c>
      <c r="Z6" s="188" t="e">
        <f>IF(Attacker_Threat_Zone[[#This Row],[Relevance]]="No"," ",MAX(VLOOKUP(Attacker_Threat_Zone[[#This Row],[Risk
A]],SL_Mapping[],2,FALSE),0))</f>
        <v>#N/A</v>
      </c>
      <c r="AA6" s="185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" s="185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" s="185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" s="185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" s="185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" s="185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" s="185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" s="71"/>
    </row>
    <row r="7" spans="1:34">
      <c r="A7" s="47" t="s">
        <v>84</v>
      </c>
      <c r="B7" s="51" t="s">
        <v>81</v>
      </c>
      <c r="C7" s="51" t="s">
        <v>81</v>
      </c>
      <c r="D7" s="51" t="s">
        <v>9</v>
      </c>
      <c r="E7" s="51" t="s">
        <v>81</v>
      </c>
      <c r="F7" s="51" t="s">
        <v>81</v>
      </c>
      <c r="G7" s="51" t="s">
        <v>9</v>
      </c>
      <c r="H7" s="51" t="s">
        <v>9</v>
      </c>
      <c r="I7" s="52" t="s">
        <v>82</v>
      </c>
      <c r="J7" s="189">
        <v>1</v>
      </c>
      <c r="K7" s="189">
        <v>3</v>
      </c>
      <c r="L7" s="190">
        <f>IF(Attacker_Threat_Zone[[#This Row],[Relevance]]="No"," ",MAX(Attacker_Threat_Zone[[#This Row],[Exposure]]+Attacker_Threat_Zone[[#This Row],[Vulnerability]]-1,1))</f>
        <v>3</v>
      </c>
      <c r="M7" s="189" t="s">
        <v>85</v>
      </c>
      <c r="N7" s="190">
        <f>IFERROR(VLOOKUP(Attacker_Threat_Zone[[#This Row],[Impact
C]],Impact_Mapping[],2,FALSE),0)</f>
        <v>1</v>
      </c>
      <c r="O7" s="189" t="s">
        <v>81</v>
      </c>
      <c r="P7" s="190">
        <f>IFERROR(VLOOKUP(Attacker_Threat_Zone[[#This Row],[Impact
I]],Impact_Mapping[],2,FALSE),0)</f>
        <v>2</v>
      </c>
      <c r="Q7" s="189" t="s">
        <v>85</v>
      </c>
      <c r="R7" s="190">
        <f>IFERROR(VLOOKUP(Attacker_Threat_Zone[[#This Row],[Impact
A]],Impact_Mapping[],2,FALSE),0)</f>
        <v>1</v>
      </c>
      <c r="S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>C</v>
      </c>
      <c r="T7" s="190" t="str" cm="1">
        <f t="array" ref="T7">INDEX(Risk!$C$4:$F$8,Attacker_Threat_Zone[[#This Row],[Likelihood]],VLOOKUP(Attacker_Threat_Zone[[#This Row],[Impact
C]],Impact_Mapping[],2,FALSE))</f>
        <v>Low</v>
      </c>
      <c r="U7" s="190" t="str" cm="1">
        <f t="array" ref="U7">INDEX(Risk!$C$4:$F$8,Attacker_Threat_Zone[[#This Row],[Likelihood]],VLOOKUP(Attacker_Threat_Zone[[#This Row],[Impact
I]],Impact_Mapping[],2,FALSE))</f>
        <v>Medium</v>
      </c>
      <c r="V7" s="190" t="str" cm="1">
        <f t="array" ref="V7">INDEX(Risk!$C$4:$F$8,Attacker_Threat_Zone[[#This Row],[Likelihood]],VLOOKUP(Attacker_Threat_Zone[[#This Row],[Impact
A]],Impact_Mapping[],2,FALSE))</f>
        <v>Low</v>
      </c>
      <c r="W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>Medium</v>
      </c>
      <c r="X7" s="188">
        <f>IF(Attacker_Threat_Zone[[#This Row],[Relevance]]="No"," ",MAX(VLOOKUP(Attacker_Threat_Zone[[#This Row],[Risk
C]],SL_Mapping[],2,FALSE),0))</f>
        <v>0</v>
      </c>
      <c r="Y7" s="188">
        <f>IF(Attacker_Threat_Zone[[#This Row],[Relevance]]="No"," ",MAX(VLOOKUP(Attacker_Threat_Zone[[#This Row],[Risk
I]],SL_Mapping[],2,FALSE),0))</f>
        <v>1</v>
      </c>
      <c r="Z7" s="188">
        <f>IF(Attacker_Threat_Zone[[#This Row],[Relevance]]="No"," ",MAX(VLOOKUP(Attacker_Threat_Zone[[#This Row],[Risk
A]],SL_Mapping[],2,FALSE),0))</f>
        <v>0</v>
      </c>
      <c r="AA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7" s="72"/>
    </row>
    <row r="8" spans="1:34">
      <c r="A8" s="47" t="s">
        <v>86</v>
      </c>
      <c r="B8" s="51" t="s">
        <v>81</v>
      </c>
      <c r="C8" s="51" t="s">
        <v>81</v>
      </c>
      <c r="D8" s="51" t="s">
        <v>9</v>
      </c>
      <c r="E8" s="51" t="s">
        <v>81</v>
      </c>
      <c r="F8" s="51" t="s">
        <v>81</v>
      </c>
      <c r="G8" s="51" t="s">
        <v>9</v>
      </c>
      <c r="H8" s="51" t="s">
        <v>9</v>
      </c>
      <c r="I8" s="52" t="s">
        <v>82</v>
      </c>
      <c r="J8" s="189">
        <v>1</v>
      </c>
      <c r="K8" s="189">
        <v>3</v>
      </c>
      <c r="L8" s="190">
        <f>IF(Attacker_Threat_Zone[[#This Row],[Relevance]]="No"," ",MAX(Attacker_Threat_Zone[[#This Row],[Exposure]]+Attacker_Threat_Zone[[#This Row],[Vulnerability]]-1,1))</f>
        <v>3</v>
      </c>
      <c r="M8" s="189" t="s">
        <v>85</v>
      </c>
      <c r="N8" s="190">
        <f>IFERROR(VLOOKUP(Attacker_Threat_Zone[[#This Row],[Impact
C]],Impact_Mapping[],2,FALSE),0)</f>
        <v>1</v>
      </c>
      <c r="O8" s="189" t="s">
        <v>83</v>
      </c>
      <c r="P8" s="190">
        <f>IFERROR(VLOOKUP(Attacker_Threat_Zone[[#This Row],[Impact
I]],Impact_Mapping[],2,FALSE),0)</f>
        <v>4</v>
      </c>
      <c r="Q8" s="189" t="s">
        <v>87</v>
      </c>
      <c r="R8" s="190">
        <f>IFERROR(VLOOKUP(Attacker_Threat_Zone[[#This Row],[Impact
A]],Impact_Mapping[],2,FALSE),0)</f>
        <v>3</v>
      </c>
      <c r="S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>A</v>
      </c>
      <c r="T8" s="190" t="str" cm="1">
        <f t="array" ref="T8">INDEX(Risk!$C$4:$F$8,Attacker_Threat_Zone[[#This Row],[Likelihood]],VLOOKUP(Attacker_Threat_Zone[[#This Row],[Impact
C]],Impact_Mapping[],2,FALSE))</f>
        <v>Low</v>
      </c>
      <c r="U8" s="190" t="str" cm="1">
        <f t="array" ref="U8">INDEX(Risk!$C$4:$F$8,Attacker_Threat_Zone[[#This Row],[Likelihood]],VLOOKUP(Attacker_Threat_Zone[[#This Row],[Impact
I]],Impact_Mapping[],2,FALSE))</f>
        <v>High</v>
      </c>
      <c r="V8" s="190" t="str" cm="1">
        <f t="array" ref="V8">INDEX(Risk!$C$4:$F$8,Attacker_Threat_Zone[[#This Row],[Likelihood]],VLOOKUP(Attacker_Threat_Zone[[#This Row],[Impact
A]],Impact_Mapping[],2,FALSE))</f>
        <v>Significant</v>
      </c>
      <c r="W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>High</v>
      </c>
      <c r="X8" s="188">
        <f>IF(Attacker_Threat_Zone[[#This Row],[Relevance]]="No"," ",MAX(VLOOKUP(Attacker_Threat_Zone[[#This Row],[Risk
C]],SL_Mapping[],2,FALSE),0))</f>
        <v>0</v>
      </c>
      <c r="Y8" s="188">
        <f>IF(Attacker_Threat_Zone[[#This Row],[Relevance]]="No"," ",MAX(VLOOKUP(Attacker_Threat_Zone[[#This Row],[Risk
I]],SL_Mapping[],2,FALSE),0))</f>
        <v>3</v>
      </c>
      <c r="Z8" s="188">
        <f>IF(Attacker_Threat_Zone[[#This Row],[Relevance]]="No"," ",MAX(VLOOKUP(Attacker_Threat_Zone[[#This Row],[Risk
A]],SL_Mapping[],2,FALSE),0))</f>
        <v>2</v>
      </c>
      <c r="AA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8" s="72"/>
    </row>
    <row r="9" spans="1:34">
      <c r="A9" s="47" t="s">
        <v>88</v>
      </c>
      <c r="B9" s="51" t="s">
        <v>89</v>
      </c>
      <c r="C9" s="51" t="s">
        <v>89</v>
      </c>
      <c r="D9" s="51" t="s">
        <v>9</v>
      </c>
      <c r="E9" s="51" t="s">
        <v>81</v>
      </c>
      <c r="F9" s="51" t="s">
        <v>89</v>
      </c>
      <c r="G9" s="51" t="s">
        <v>83</v>
      </c>
      <c r="H9" s="51" t="s">
        <v>83</v>
      </c>
      <c r="I9" s="52" t="s">
        <v>82</v>
      </c>
      <c r="J9" s="189">
        <v>2</v>
      </c>
      <c r="K9" s="189">
        <v>2</v>
      </c>
      <c r="L9" s="190">
        <f>IF(Attacker_Threat_Zone[[#This Row],[Relevance]]="No"," ",MAX(Attacker_Threat_Zone[[#This Row],[Exposure]]+Attacker_Threat_Zone[[#This Row],[Vulnerability]]-1,1))</f>
        <v>3</v>
      </c>
      <c r="M9" s="189" t="s">
        <v>85</v>
      </c>
      <c r="N9" s="190">
        <f>IFERROR(VLOOKUP(Attacker_Threat_Zone[[#This Row],[Impact
C]],Impact_Mapping[],2,FALSE),0)</f>
        <v>1</v>
      </c>
      <c r="O9" s="189" t="s">
        <v>83</v>
      </c>
      <c r="P9" s="190">
        <f>IFERROR(VLOOKUP(Attacker_Threat_Zone[[#This Row],[Impact
I]],Impact_Mapping[],2,FALSE),0)</f>
        <v>4</v>
      </c>
      <c r="Q9" s="189" t="s">
        <v>87</v>
      </c>
      <c r="R9" s="190">
        <f>IFERROR(VLOOKUP(Attacker_Threat_Zone[[#This Row],[Impact
A]],Impact_Mapping[],2,FALSE),0)</f>
        <v>3</v>
      </c>
      <c r="S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>A</v>
      </c>
      <c r="T9" s="190" t="str" cm="1">
        <f t="array" ref="T9">INDEX(Risk!$C$4:$F$8,Attacker_Threat_Zone[[#This Row],[Likelihood]],VLOOKUP(Attacker_Threat_Zone[[#This Row],[Impact
C]],Impact_Mapping[],2,FALSE))</f>
        <v>Low</v>
      </c>
      <c r="U9" s="190" t="str" cm="1">
        <f t="array" ref="U9">INDEX(Risk!$C$4:$F$8,Attacker_Threat_Zone[[#This Row],[Likelihood]],VLOOKUP(Attacker_Threat_Zone[[#This Row],[Impact
I]],Impact_Mapping[],2,FALSE))</f>
        <v>High</v>
      </c>
      <c r="V9" s="190" t="str" cm="1">
        <f t="array" ref="V9">INDEX(Risk!$C$4:$F$8,Attacker_Threat_Zone[[#This Row],[Likelihood]],VLOOKUP(Attacker_Threat_Zone[[#This Row],[Impact
A]],Impact_Mapping[],2,FALSE))</f>
        <v>Significant</v>
      </c>
      <c r="W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>High</v>
      </c>
      <c r="X9" s="188">
        <f>IF(Attacker_Threat_Zone[[#This Row],[Relevance]]="No"," ",MAX(VLOOKUP(Attacker_Threat_Zone[[#This Row],[Risk
C]],SL_Mapping[],2,FALSE),0))</f>
        <v>0</v>
      </c>
      <c r="Y9" s="188">
        <f>IF(Attacker_Threat_Zone[[#This Row],[Relevance]]="No"," ",MAX(VLOOKUP(Attacker_Threat_Zone[[#This Row],[Risk
I]],SL_Mapping[],2,FALSE),0))</f>
        <v>3</v>
      </c>
      <c r="Z9" s="188">
        <f>IF(Attacker_Threat_Zone[[#This Row],[Relevance]]="No"," ",MAX(VLOOKUP(Attacker_Threat_Zone[[#This Row],[Risk
A]],SL_Mapping[],2,FALSE),0))</f>
        <v>2</v>
      </c>
      <c r="AA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2</v>
      </c>
      <c r="AB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2</v>
      </c>
      <c r="AC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2</v>
      </c>
      <c r="AF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2</v>
      </c>
      <c r="AG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2</v>
      </c>
      <c r="AH9" s="72"/>
    </row>
    <row r="10" spans="1:34">
      <c r="A10" s="47" t="s">
        <v>90</v>
      </c>
      <c r="B10" s="51" t="s">
        <v>89</v>
      </c>
      <c r="C10" s="51" t="s">
        <v>89</v>
      </c>
      <c r="D10" s="51" t="s">
        <v>9</v>
      </c>
      <c r="E10" s="51" t="s">
        <v>81</v>
      </c>
      <c r="F10" s="51" t="s">
        <v>89</v>
      </c>
      <c r="G10" s="51" t="s">
        <v>83</v>
      </c>
      <c r="H10" s="51" t="s">
        <v>83</v>
      </c>
      <c r="I10" s="52" t="s">
        <v>82</v>
      </c>
      <c r="J10" s="189"/>
      <c r="K10" s="189"/>
      <c r="L10" s="190">
        <f>IF(Attacker_Threat_Zone[[#This Row],[Relevance]]="No"," ",MAX(Attacker_Threat_Zone[[#This Row],[Exposure]]+Attacker_Threat_Zone[[#This Row],[Vulnerability]]-1,1))</f>
        <v>1</v>
      </c>
      <c r="M10" s="189"/>
      <c r="N10" s="190">
        <f>IFERROR(VLOOKUP(Attacker_Threat_Zone[[#This Row],[Impact
C]],Impact_Mapping[],2,FALSE),0)</f>
        <v>0</v>
      </c>
      <c r="O10" s="189"/>
      <c r="P10" s="190">
        <f>IFERROR(VLOOKUP(Attacker_Threat_Zone[[#This Row],[Impact
I]],Impact_Mapping[],2,FALSE),0)</f>
        <v>0</v>
      </c>
      <c r="Q10" s="189"/>
      <c r="R10" s="190">
        <f>IFERROR(VLOOKUP(Attacker_Threat_Zone[[#This Row],[Impact
A]],Impact_Mapping[],2,FALSE),0)</f>
        <v>0</v>
      </c>
      <c r="S10" s="190" t="e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>#N/A</v>
      </c>
      <c r="T10" s="190" t="e" cm="1">
        <f t="array" ref="T10">INDEX(Risk!$C$4:$F$8,Attacker_Threat_Zone[[#This Row],[Likelihood]],VLOOKUP(Attacker_Threat_Zone[[#This Row],[Impact
C]],Impact_Mapping[],2,FALSE))</f>
        <v>#N/A</v>
      </c>
      <c r="U10" s="190" t="e" cm="1">
        <f t="array" ref="U10">INDEX(Risk!$C$4:$F$8,Attacker_Threat_Zone[[#This Row],[Likelihood]],VLOOKUP(Attacker_Threat_Zone[[#This Row],[Impact
I]],Impact_Mapping[],2,FALSE))</f>
        <v>#N/A</v>
      </c>
      <c r="V10" s="190" t="e" cm="1">
        <f t="array" ref="V10">INDEX(Risk!$C$4:$F$8,Attacker_Threat_Zone[[#This Row],[Likelihood]],VLOOKUP(Attacker_Threat_Zone[[#This Row],[Impact
A]],Impact_Mapping[],2,FALSE))</f>
        <v>#N/A</v>
      </c>
      <c r="W10" s="190" t="e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>#N/A</v>
      </c>
      <c r="X10" s="188" t="e">
        <f>IF(Attacker_Threat_Zone[[#This Row],[Relevance]]="No"," ",MAX(VLOOKUP(Attacker_Threat_Zone[[#This Row],[Risk
C]],SL_Mapping[],2,FALSE),0))</f>
        <v>#N/A</v>
      </c>
      <c r="Y10" s="188" t="e">
        <f>IF(Attacker_Threat_Zone[[#This Row],[Relevance]]="No"," ",MAX(VLOOKUP(Attacker_Threat_Zone[[#This Row],[Risk
I]],SL_Mapping[],2,FALSE),0))</f>
        <v>#N/A</v>
      </c>
      <c r="Z10" s="188" t="e">
        <f>IF(Attacker_Threat_Zone[[#This Row],[Relevance]]="No"," ",MAX(VLOOKUP(Attacker_Threat_Zone[[#This Row],[Risk
A]],SL_Mapping[],2,FALSE),0))</f>
        <v>#N/A</v>
      </c>
      <c r="AA1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0" s="72"/>
    </row>
    <row r="11" spans="1:34">
      <c r="A11" s="47" t="s">
        <v>92</v>
      </c>
      <c r="B11" s="51" t="s">
        <v>81</v>
      </c>
      <c r="C11" s="51" t="s">
        <v>81</v>
      </c>
      <c r="D11" s="51" t="s">
        <v>9</v>
      </c>
      <c r="E11" s="51" t="s">
        <v>81</v>
      </c>
      <c r="F11" s="51" t="s">
        <v>81</v>
      </c>
      <c r="G11" s="51" t="s">
        <v>9</v>
      </c>
      <c r="H11" s="51" t="s">
        <v>9</v>
      </c>
      <c r="I11" s="52" t="s">
        <v>91</v>
      </c>
      <c r="J11" s="189"/>
      <c r="K11" s="189"/>
      <c r="L11" s="190" t="str">
        <f>IF(Attacker_Threat_Zone[[#This Row],[Relevance]]="No"," ",MAX(Attacker_Threat_Zone[[#This Row],[Exposure]]+Attacker_Threat_Zone[[#This Row],[Vulnerability]]-1,1))</f>
        <v xml:space="preserve"> </v>
      </c>
      <c r="M11" s="189"/>
      <c r="N11" s="190">
        <f>IFERROR(VLOOKUP(Attacker_Threat_Zone[[#This Row],[Impact
C]],Impact_Mapping[],2,FALSE),0)</f>
        <v>0</v>
      </c>
      <c r="O11" s="189"/>
      <c r="P11" s="190">
        <f>IFERROR(VLOOKUP(Attacker_Threat_Zone[[#This Row],[Impact
I]],Impact_Mapping[],2,FALSE),0)</f>
        <v>0</v>
      </c>
      <c r="Q11" s="189"/>
      <c r="R11" s="190">
        <f>IFERROR(VLOOKUP(Attacker_Threat_Zone[[#This Row],[Impact
A]],Impact_Mapping[],2,FALSE),0)</f>
        <v>0</v>
      </c>
      <c r="S1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1" s="190" t="e" cm="1">
        <f t="array" ref="T11">INDEX(Risk!$C$4:$F$8,Attacker_Threat_Zone[[#This Row],[Likelihood]],VLOOKUP(Attacker_Threat_Zone[[#This Row],[Impact
C]],Impact_Mapping[],2,FALSE))</f>
        <v>#VALUE!</v>
      </c>
      <c r="U11" s="190" t="e" cm="1">
        <f t="array" ref="U11">INDEX(Risk!$C$4:$F$8,Attacker_Threat_Zone[[#This Row],[Likelihood]],VLOOKUP(Attacker_Threat_Zone[[#This Row],[Impact
I]],Impact_Mapping[],2,FALSE))</f>
        <v>#VALUE!</v>
      </c>
      <c r="V11" s="190" t="e" cm="1">
        <f t="array" ref="V11">INDEX(Risk!$C$4:$F$8,Attacker_Threat_Zone[[#This Row],[Likelihood]],VLOOKUP(Attacker_Threat_Zone[[#This Row],[Impact
A]],Impact_Mapping[],2,FALSE))</f>
        <v>#VALUE!</v>
      </c>
      <c r="W1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1" s="188" t="str">
        <f>IF(Attacker_Threat_Zone[[#This Row],[Relevance]]="No"," ",MAX(VLOOKUP(Attacker_Threat_Zone[[#This Row],[Risk
C]],SL_Mapping[],2,FALSE),0))</f>
        <v xml:space="preserve"> </v>
      </c>
      <c r="Y11" s="188" t="str">
        <f>IF(Attacker_Threat_Zone[[#This Row],[Relevance]]="No"," ",MAX(VLOOKUP(Attacker_Threat_Zone[[#This Row],[Risk
I]],SL_Mapping[],2,FALSE),0))</f>
        <v xml:space="preserve"> </v>
      </c>
      <c r="Z11" s="188" t="str">
        <f>IF(Attacker_Threat_Zone[[#This Row],[Relevance]]="No"," ",MAX(VLOOKUP(Attacker_Threat_Zone[[#This Row],[Risk
A]],SL_Mapping[],2,FALSE),0))</f>
        <v xml:space="preserve"> </v>
      </c>
      <c r="AA11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1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1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1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1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1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1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1" s="72"/>
    </row>
    <row r="12" spans="1:34">
      <c r="A12" s="47" t="s">
        <v>93</v>
      </c>
      <c r="B12" s="51" t="s">
        <v>96</v>
      </c>
      <c r="C12" s="51" t="s">
        <v>96</v>
      </c>
      <c r="D12" s="51" t="s">
        <v>94</v>
      </c>
      <c r="E12" s="51" t="s">
        <v>81</v>
      </c>
      <c r="F12" s="51" t="s">
        <v>96</v>
      </c>
      <c r="G12" s="51" t="s">
        <v>97</v>
      </c>
      <c r="H12" s="51" t="s">
        <v>83</v>
      </c>
      <c r="I12" s="52" t="s">
        <v>91</v>
      </c>
      <c r="J12" s="189"/>
      <c r="K12" s="189"/>
      <c r="L12" s="190" t="str">
        <f>IF(Attacker_Threat_Zone[[#This Row],[Relevance]]="No"," ",MAX(Attacker_Threat_Zone[[#This Row],[Exposure]]+Attacker_Threat_Zone[[#This Row],[Vulnerability]]-1,1))</f>
        <v xml:space="preserve"> </v>
      </c>
      <c r="M12" s="189"/>
      <c r="N12" s="190">
        <f>IFERROR(VLOOKUP(Attacker_Threat_Zone[[#This Row],[Impact
C]],Impact_Mapping[],2,FALSE),0)</f>
        <v>0</v>
      </c>
      <c r="O12" s="189"/>
      <c r="P12" s="190">
        <f>IFERROR(VLOOKUP(Attacker_Threat_Zone[[#This Row],[Impact
I]],Impact_Mapping[],2,FALSE),0)</f>
        <v>0</v>
      </c>
      <c r="Q12" s="189"/>
      <c r="R12" s="190">
        <f>IFERROR(VLOOKUP(Attacker_Threat_Zone[[#This Row],[Impact
A]],Impact_Mapping[],2,FALSE),0)</f>
        <v>0</v>
      </c>
      <c r="S1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2" s="190" t="e" cm="1">
        <f t="array" ref="T12">INDEX(Risk!$C$4:$F$8,Attacker_Threat_Zone[[#This Row],[Likelihood]],VLOOKUP(Attacker_Threat_Zone[[#This Row],[Impact
C]],Impact_Mapping[],2,FALSE))</f>
        <v>#VALUE!</v>
      </c>
      <c r="U12" s="190" t="e" cm="1">
        <f t="array" ref="U12">INDEX(Risk!$C$4:$F$8,Attacker_Threat_Zone[[#This Row],[Likelihood]],VLOOKUP(Attacker_Threat_Zone[[#This Row],[Impact
I]],Impact_Mapping[],2,FALSE))</f>
        <v>#VALUE!</v>
      </c>
      <c r="V12" s="190" t="e" cm="1">
        <f t="array" ref="V12">INDEX(Risk!$C$4:$F$8,Attacker_Threat_Zone[[#This Row],[Likelihood]],VLOOKUP(Attacker_Threat_Zone[[#This Row],[Impact
A]],Impact_Mapping[],2,FALSE))</f>
        <v>#VALUE!</v>
      </c>
      <c r="W1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2" s="188" t="str">
        <f>IF(Attacker_Threat_Zone[[#This Row],[Relevance]]="No"," ",MAX(VLOOKUP(Attacker_Threat_Zone[[#This Row],[Risk
C]],SL_Mapping[],2,FALSE),0))</f>
        <v xml:space="preserve"> </v>
      </c>
      <c r="Y12" s="188" t="str">
        <f>IF(Attacker_Threat_Zone[[#This Row],[Relevance]]="No"," ",MAX(VLOOKUP(Attacker_Threat_Zone[[#This Row],[Risk
I]],SL_Mapping[],2,FALSE),0))</f>
        <v xml:space="preserve"> </v>
      </c>
      <c r="Z12" s="188" t="str">
        <f>IF(Attacker_Threat_Zone[[#This Row],[Relevance]]="No"," ",MAX(VLOOKUP(Attacker_Threat_Zone[[#This Row],[Risk
A]],SL_Mapping[],2,FALSE),0))</f>
        <v xml:space="preserve"> </v>
      </c>
      <c r="AA1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2" s="72"/>
    </row>
    <row r="13" spans="1:34">
      <c r="A13" s="47" t="s">
        <v>95</v>
      </c>
      <c r="B13" s="51" t="s">
        <v>96</v>
      </c>
      <c r="C13" s="51" t="s">
        <v>96</v>
      </c>
      <c r="D13" s="51" t="s">
        <v>94</v>
      </c>
      <c r="E13" s="51" t="s">
        <v>81</v>
      </c>
      <c r="F13" s="51" t="s">
        <v>96</v>
      </c>
      <c r="G13" s="51" t="s">
        <v>97</v>
      </c>
      <c r="H13" s="51" t="s">
        <v>83</v>
      </c>
      <c r="I13" s="52" t="s">
        <v>91</v>
      </c>
      <c r="J13" s="189"/>
      <c r="K13" s="189"/>
      <c r="L13" s="190" t="str">
        <f>IF(Attacker_Threat_Zone[[#This Row],[Relevance]]="No"," ",MAX(Attacker_Threat_Zone[[#This Row],[Exposure]]+Attacker_Threat_Zone[[#This Row],[Vulnerability]]-1,1))</f>
        <v xml:space="preserve"> </v>
      </c>
      <c r="M13" s="189"/>
      <c r="N13" s="190">
        <f>IFERROR(VLOOKUP(Attacker_Threat_Zone[[#This Row],[Impact
C]],Impact_Mapping[],2,FALSE),0)</f>
        <v>0</v>
      </c>
      <c r="O13" s="189"/>
      <c r="P13" s="190">
        <f>IFERROR(VLOOKUP(Attacker_Threat_Zone[[#This Row],[Impact
I]],Impact_Mapping[],2,FALSE),0)</f>
        <v>0</v>
      </c>
      <c r="Q13" s="189"/>
      <c r="R13" s="190">
        <f>IFERROR(VLOOKUP(Attacker_Threat_Zone[[#This Row],[Impact
A]],Impact_Mapping[],2,FALSE),0)</f>
        <v>0</v>
      </c>
      <c r="S1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3" s="190" t="e" cm="1">
        <f t="array" ref="T13">INDEX(Risk!$C$4:$F$8,Attacker_Threat_Zone[[#This Row],[Likelihood]],VLOOKUP(Attacker_Threat_Zone[[#This Row],[Impact
C]],Impact_Mapping[],2,FALSE))</f>
        <v>#VALUE!</v>
      </c>
      <c r="U13" s="190" t="e" cm="1">
        <f t="array" ref="U13">INDEX(Risk!$C$4:$F$8,Attacker_Threat_Zone[[#This Row],[Likelihood]],VLOOKUP(Attacker_Threat_Zone[[#This Row],[Impact
I]],Impact_Mapping[],2,FALSE))</f>
        <v>#VALUE!</v>
      </c>
      <c r="V13" s="190" t="e" cm="1">
        <f t="array" ref="V13">INDEX(Risk!$C$4:$F$8,Attacker_Threat_Zone[[#This Row],[Likelihood]],VLOOKUP(Attacker_Threat_Zone[[#This Row],[Impact
A]],Impact_Mapping[],2,FALSE))</f>
        <v>#VALUE!</v>
      </c>
      <c r="W1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3" s="188" t="str">
        <f>IF(Attacker_Threat_Zone[[#This Row],[Relevance]]="No"," ",MAX(VLOOKUP(Attacker_Threat_Zone[[#This Row],[Risk
C]],SL_Mapping[],2,FALSE),0))</f>
        <v xml:space="preserve"> </v>
      </c>
      <c r="Y13" s="188" t="str">
        <f>IF(Attacker_Threat_Zone[[#This Row],[Relevance]]="No"," ",MAX(VLOOKUP(Attacker_Threat_Zone[[#This Row],[Risk
I]],SL_Mapping[],2,FALSE),0))</f>
        <v xml:space="preserve"> </v>
      </c>
      <c r="Z13" s="188" t="str">
        <f>IF(Attacker_Threat_Zone[[#This Row],[Relevance]]="No"," ",MAX(VLOOKUP(Attacker_Threat_Zone[[#This Row],[Risk
A]],SL_Mapping[],2,FALSE),0))</f>
        <v xml:space="preserve"> </v>
      </c>
      <c r="AA1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3" s="72"/>
    </row>
    <row r="14" spans="1:34">
      <c r="A14" s="47" t="s">
        <v>98</v>
      </c>
      <c r="B14" s="51" t="s">
        <v>94</v>
      </c>
      <c r="C14" s="51" t="s">
        <v>94</v>
      </c>
      <c r="D14" s="51" t="s">
        <v>94</v>
      </c>
      <c r="E14" s="51" t="s">
        <v>9</v>
      </c>
      <c r="F14" s="51" t="s">
        <v>94</v>
      </c>
      <c r="G14" s="51" t="s">
        <v>94</v>
      </c>
      <c r="H14" s="51" t="s">
        <v>9</v>
      </c>
      <c r="I14" s="52" t="s">
        <v>91</v>
      </c>
      <c r="J14" s="189"/>
      <c r="K14" s="189"/>
      <c r="L14" s="190" t="str">
        <f>IF(Attacker_Threat_Zone[[#This Row],[Relevance]]="No"," ",MAX(Attacker_Threat_Zone[[#This Row],[Exposure]]+Attacker_Threat_Zone[[#This Row],[Vulnerability]]-1,1))</f>
        <v xml:space="preserve"> </v>
      </c>
      <c r="M14" s="189"/>
      <c r="N14" s="190">
        <f>IFERROR(VLOOKUP(Attacker_Threat_Zone[[#This Row],[Impact
C]],Impact_Mapping[],2,FALSE),0)</f>
        <v>0</v>
      </c>
      <c r="O14" s="189"/>
      <c r="P14" s="190">
        <f>IFERROR(VLOOKUP(Attacker_Threat_Zone[[#This Row],[Impact
I]],Impact_Mapping[],2,FALSE),0)</f>
        <v>0</v>
      </c>
      <c r="Q14" s="189"/>
      <c r="R14" s="190">
        <f>IFERROR(VLOOKUP(Attacker_Threat_Zone[[#This Row],[Impact
A]],Impact_Mapping[],2,FALSE),0)</f>
        <v>0</v>
      </c>
      <c r="S1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4" s="190" t="e" cm="1">
        <f t="array" ref="T14">INDEX(Risk!$C$4:$F$8,Attacker_Threat_Zone[[#This Row],[Likelihood]],VLOOKUP(Attacker_Threat_Zone[[#This Row],[Impact
C]],Impact_Mapping[],2,FALSE))</f>
        <v>#VALUE!</v>
      </c>
      <c r="U14" s="190" t="e" cm="1">
        <f t="array" ref="U14">INDEX(Risk!$C$4:$F$8,Attacker_Threat_Zone[[#This Row],[Likelihood]],VLOOKUP(Attacker_Threat_Zone[[#This Row],[Impact
I]],Impact_Mapping[],2,FALSE))</f>
        <v>#VALUE!</v>
      </c>
      <c r="V14" s="190" t="e" cm="1">
        <f t="array" ref="V14">INDEX(Risk!$C$4:$F$8,Attacker_Threat_Zone[[#This Row],[Likelihood]],VLOOKUP(Attacker_Threat_Zone[[#This Row],[Impact
A]],Impact_Mapping[],2,FALSE))</f>
        <v>#VALUE!</v>
      </c>
      <c r="W1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4" s="188" t="str">
        <f>IF(Attacker_Threat_Zone[[#This Row],[Relevance]]="No"," ",MAX(VLOOKUP(Attacker_Threat_Zone[[#This Row],[Risk
C]],SL_Mapping[],2,FALSE),0))</f>
        <v xml:space="preserve"> </v>
      </c>
      <c r="Y14" s="188" t="str">
        <f>IF(Attacker_Threat_Zone[[#This Row],[Relevance]]="No"," ",MAX(VLOOKUP(Attacker_Threat_Zone[[#This Row],[Risk
I]],SL_Mapping[],2,FALSE),0))</f>
        <v xml:space="preserve"> </v>
      </c>
      <c r="Z14" s="188" t="str">
        <f>IF(Attacker_Threat_Zone[[#This Row],[Relevance]]="No"," ",MAX(VLOOKUP(Attacker_Threat_Zone[[#This Row],[Risk
A]],SL_Mapping[],2,FALSE),0))</f>
        <v xml:space="preserve"> </v>
      </c>
      <c r="AA14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4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4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4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4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4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4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4" s="72"/>
    </row>
    <row r="15" spans="1:34">
      <c r="A15" s="47" t="s">
        <v>99</v>
      </c>
      <c r="B15" s="51" t="s">
        <v>96</v>
      </c>
      <c r="C15" s="51" t="s">
        <v>96</v>
      </c>
      <c r="D15" s="51" t="s">
        <v>94</v>
      </c>
      <c r="E15" s="51" t="s">
        <v>81</v>
      </c>
      <c r="F15" s="51" t="s">
        <v>96</v>
      </c>
      <c r="G15" s="51" t="s">
        <v>97</v>
      </c>
      <c r="H15" s="51" t="s">
        <v>83</v>
      </c>
      <c r="I15" s="52" t="s">
        <v>91</v>
      </c>
      <c r="J15" s="189"/>
      <c r="K15" s="189"/>
      <c r="L15" s="190" t="str">
        <f>IF(Attacker_Threat_Zone[[#This Row],[Relevance]]="No"," ",MAX(Attacker_Threat_Zone[[#This Row],[Exposure]]+Attacker_Threat_Zone[[#This Row],[Vulnerability]]-1,1))</f>
        <v xml:space="preserve"> </v>
      </c>
      <c r="M15" s="189"/>
      <c r="N15" s="190">
        <f>IFERROR(VLOOKUP(Attacker_Threat_Zone[[#This Row],[Impact
C]],Impact_Mapping[],2,FALSE),0)</f>
        <v>0</v>
      </c>
      <c r="O15" s="189"/>
      <c r="P15" s="190">
        <f>IFERROR(VLOOKUP(Attacker_Threat_Zone[[#This Row],[Impact
I]],Impact_Mapping[],2,FALSE),0)</f>
        <v>0</v>
      </c>
      <c r="Q15" s="189"/>
      <c r="R15" s="190">
        <f>IFERROR(VLOOKUP(Attacker_Threat_Zone[[#This Row],[Impact
A]],Impact_Mapping[],2,FALSE),0)</f>
        <v>0</v>
      </c>
      <c r="S15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5" s="190" t="e" cm="1">
        <f t="array" ref="T15">INDEX(Risk!$C$4:$F$8,Attacker_Threat_Zone[[#This Row],[Likelihood]],VLOOKUP(Attacker_Threat_Zone[[#This Row],[Impact
C]],Impact_Mapping[],2,FALSE))</f>
        <v>#VALUE!</v>
      </c>
      <c r="U15" s="190" t="e" cm="1">
        <f t="array" ref="U15">INDEX(Risk!$C$4:$F$8,Attacker_Threat_Zone[[#This Row],[Likelihood]],VLOOKUP(Attacker_Threat_Zone[[#This Row],[Impact
I]],Impact_Mapping[],2,FALSE))</f>
        <v>#VALUE!</v>
      </c>
      <c r="V15" s="190" t="e" cm="1">
        <f t="array" ref="V15">INDEX(Risk!$C$4:$F$8,Attacker_Threat_Zone[[#This Row],[Likelihood]],VLOOKUP(Attacker_Threat_Zone[[#This Row],[Impact
A]],Impact_Mapping[],2,FALSE))</f>
        <v>#VALUE!</v>
      </c>
      <c r="W15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5" s="188" t="str">
        <f>IF(Attacker_Threat_Zone[[#This Row],[Relevance]]="No"," ",MAX(VLOOKUP(Attacker_Threat_Zone[[#This Row],[Risk
C]],SL_Mapping[],2,FALSE),0))</f>
        <v xml:space="preserve"> </v>
      </c>
      <c r="Y15" s="188" t="str">
        <f>IF(Attacker_Threat_Zone[[#This Row],[Relevance]]="No"," ",MAX(VLOOKUP(Attacker_Threat_Zone[[#This Row],[Risk
I]],SL_Mapping[],2,FALSE),0))</f>
        <v xml:space="preserve"> </v>
      </c>
      <c r="Z15" s="188" t="str">
        <f>IF(Attacker_Threat_Zone[[#This Row],[Relevance]]="No"," ",MAX(VLOOKUP(Attacker_Threat_Zone[[#This Row],[Risk
A]],SL_Mapping[],2,FALSE),0))</f>
        <v xml:space="preserve"> </v>
      </c>
      <c r="AA15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5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5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5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5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5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5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5" s="72"/>
    </row>
    <row r="16" spans="1:34">
      <c r="A16" s="47" t="s">
        <v>100</v>
      </c>
      <c r="B16" s="51" t="s">
        <v>83</v>
      </c>
      <c r="C16" s="51" t="s">
        <v>83</v>
      </c>
      <c r="D16" s="51" t="s">
        <v>9</v>
      </c>
      <c r="E16" s="51" t="s">
        <v>9</v>
      </c>
      <c r="F16" s="51" t="s">
        <v>9</v>
      </c>
      <c r="G16" s="51" t="s">
        <v>83</v>
      </c>
      <c r="H16" s="51" t="s">
        <v>83</v>
      </c>
      <c r="I16" s="52" t="s">
        <v>91</v>
      </c>
      <c r="J16" s="189"/>
      <c r="K16" s="189"/>
      <c r="L16" s="190" t="str">
        <f>IF(Attacker_Threat_Zone[[#This Row],[Relevance]]="No"," ",MAX(Attacker_Threat_Zone[[#This Row],[Exposure]]+Attacker_Threat_Zone[[#This Row],[Vulnerability]]-1,1))</f>
        <v xml:space="preserve"> </v>
      </c>
      <c r="M16" s="189"/>
      <c r="N16" s="190">
        <f>IFERROR(VLOOKUP(Attacker_Threat_Zone[[#This Row],[Impact
C]],Impact_Mapping[],2,FALSE),0)</f>
        <v>0</v>
      </c>
      <c r="O16" s="189"/>
      <c r="P16" s="190">
        <f>IFERROR(VLOOKUP(Attacker_Threat_Zone[[#This Row],[Impact
I]],Impact_Mapping[],2,FALSE),0)</f>
        <v>0</v>
      </c>
      <c r="Q16" s="189"/>
      <c r="R16" s="190">
        <f>IFERROR(VLOOKUP(Attacker_Threat_Zone[[#This Row],[Impact
A]],Impact_Mapping[],2,FALSE),0)</f>
        <v>0</v>
      </c>
      <c r="S1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6" s="190" t="e" cm="1">
        <f t="array" ref="T16">INDEX(Risk!$C$4:$F$8,Attacker_Threat_Zone[[#This Row],[Likelihood]],VLOOKUP(Attacker_Threat_Zone[[#This Row],[Impact
C]],Impact_Mapping[],2,FALSE))</f>
        <v>#VALUE!</v>
      </c>
      <c r="U16" s="190" t="e" cm="1">
        <f t="array" ref="U16">INDEX(Risk!$C$4:$F$8,Attacker_Threat_Zone[[#This Row],[Likelihood]],VLOOKUP(Attacker_Threat_Zone[[#This Row],[Impact
I]],Impact_Mapping[],2,FALSE))</f>
        <v>#VALUE!</v>
      </c>
      <c r="V16" s="190" t="e" cm="1">
        <f t="array" ref="V16">INDEX(Risk!$C$4:$F$8,Attacker_Threat_Zone[[#This Row],[Likelihood]],VLOOKUP(Attacker_Threat_Zone[[#This Row],[Impact
A]],Impact_Mapping[],2,FALSE))</f>
        <v>#VALUE!</v>
      </c>
      <c r="W1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6" s="188" t="str">
        <f>IF(Attacker_Threat_Zone[[#This Row],[Relevance]]="No"," ",MAX(VLOOKUP(Attacker_Threat_Zone[[#This Row],[Risk
C]],SL_Mapping[],2,FALSE),0))</f>
        <v xml:space="preserve"> </v>
      </c>
      <c r="Y16" s="188" t="str">
        <f>IF(Attacker_Threat_Zone[[#This Row],[Relevance]]="No"," ",MAX(VLOOKUP(Attacker_Threat_Zone[[#This Row],[Risk
I]],SL_Mapping[],2,FALSE),0))</f>
        <v xml:space="preserve"> </v>
      </c>
      <c r="Z16" s="188" t="str">
        <f>IF(Attacker_Threat_Zone[[#This Row],[Relevance]]="No"," ",MAX(VLOOKUP(Attacker_Threat_Zone[[#This Row],[Risk
A]],SL_Mapping[],2,FALSE),0))</f>
        <v xml:space="preserve"> </v>
      </c>
      <c r="AA16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6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6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6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6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6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6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6" s="72"/>
    </row>
    <row r="17" spans="1:34">
      <c r="A17" s="47" t="s">
        <v>101</v>
      </c>
      <c r="B17" s="51" t="s">
        <v>96</v>
      </c>
      <c r="C17" s="51" t="s">
        <v>96</v>
      </c>
      <c r="D17" s="51" t="s">
        <v>94</v>
      </c>
      <c r="E17" s="51" t="s">
        <v>81</v>
      </c>
      <c r="F17" s="51" t="s">
        <v>96</v>
      </c>
      <c r="G17" s="51" t="s">
        <v>97</v>
      </c>
      <c r="H17" s="51" t="s">
        <v>83</v>
      </c>
      <c r="I17" s="52" t="s">
        <v>91</v>
      </c>
      <c r="J17" s="189"/>
      <c r="K17" s="189"/>
      <c r="L17" s="190" t="str">
        <f>IF(Attacker_Threat_Zone[[#This Row],[Relevance]]="No"," ",MAX(Attacker_Threat_Zone[[#This Row],[Exposure]]+Attacker_Threat_Zone[[#This Row],[Vulnerability]]-1,1))</f>
        <v xml:space="preserve"> </v>
      </c>
      <c r="M17" s="189"/>
      <c r="N17" s="190">
        <f>IFERROR(VLOOKUP(Attacker_Threat_Zone[[#This Row],[Impact
C]],Impact_Mapping[],2,FALSE),0)</f>
        <v>0</v>
      </c>
      <c r="O17" s="189"/>
      <c r="P17" s="190">
        <f>IFERROR(VLOOKUP(Attacker_Threat_Zone[[#This Row],[Impact
I]],Impact_Mapping[],2,FALSE),0)</f>
        <v>0</v>
      </c>
      <c r="Q17" s="189"/>
      <c r="R17" s="190">
        <f>IFERROR(VLOOKUP(Attacker_Threat_Zone[[#This Row],[Impact
A]],Impact_Mapping[],2,FALSE),0)</f>
        <v>0</v>
      </c>
      <c r="S1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7" s="190" t="e" cm="1">
        <f t="array" ref="T17">INDEX(Risk!$C$4:$F$8,Attacker_Threat_Zone[[#This Row],[Likelihood]],VLOOKUP(Attacker_Threat_Zone[[#This Row],[Impact
C]],Impact_Mapping[],2,FALSE))</f>
        <v>#VALUE!</v>
      </c>
      <c r="U17" s="190" t="e" cm="1">
        <f t="array" ref="U17">INDEX(Risk!$C$4:$F$8,Attacker_Threat_Zone[[#This Row],[Likelihood]],VLOOKUP(Attacker_Threat_Zone[[#This Row],[Impact
I]],Impact_Mapping[],2,FALSE))</f>
        <v>#VALUE!</v>
      </c>
      <c r="V17" s="190" t="e" cm="1">
        <f t="array" ref="V17">INDEX(Risk!$C$4:$F$8,Attacker_Threat_Zone[[#This Row],[Likelihood]],VLOOKUP(Attacker_Threat_Zone[[#This Row],[Impact
A]],Impact_Mapping[],2,FALSE))</f>
        <v>#VALUE!</v>
      </c>
      <c r="W1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7" s="188" t="str">
        <f>IF(Attacker_Threat_Zone[[#This Row],[Relevance]]="No"," ",MAX(VLOOKUP(Attacker_Threat_Zone[[#This Row],[Risk
C]],SL_Mapping[],2,FALSE),0))</f>
        <v xml:space="preserve"> </v>
      </c>
      <c r="Y17" s="188" t="str">
        <f>IF(Attacker_Threat_Zone[[#This Row],[Relevance]]="No"," ",MAX(VLOOKUP(Attacker_Threat_Zone[[#This Row],[Risk
I]],SL_Mapping[],2,FALSE),0))</f>
        <v xml:space="preserve"> </v>
      </c>
      <c r="Z17" s="188" t="str">
        <f>IF(Attacker_Threat_Zone[[#This Row],[Relevance]]="No"," ",MAX(VLOOKUP(Attacker_Threat_Zone[[#This Row],[Risk
A]],SL_Mapping[],2,FALSE),0))</f>
        <v xml:space="preserve"> </v>
      </c>
      <c r="AA1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7" s="72"/>
    </row>
    <row r="18" spans="1:34">
      <c r="A18" s="47" t="s">
        <v>102</v>
      </c>
      <c r="B18" s="51" t="s">
        <v>96</v>
      </c>
      <c r="C18" s="51" t="s">
        <v>96</v>
      </c>
      <c r="D18" s="51" t="s">
        <v>94</v>
      </c>
      <c r="E18" s="51" t="s">
        <v>81</v>
      </c>
      <c r="F18" s="51" t="s">
        <v>96</v>
      </c>
      <c r="G18" s="51" t="s">
        <v>97</v>
      </c>
      <c r="H18" s="51" t="s">
        <v>83</v>
      </c>
      <c r="I18" s="52" t="s">
        <v>91</v>
      </c>
      <c r="J18" s="189"/>
      <c r="K18" s="189"/>
      <c r="L18" s="190" t="str">
        <f>IF(Attacker_Threat_Zone[[#This Row],[Relevance]]="No"," ",MAX(Attacker_Threat_Zone[[#This Row],[Exposure]]+Attacker_Threat_Zone[[#This Row],[Vulnerability]]-1,1))</f>
        <v xml:space="preserve"> </v>
      </c>
      <c r="M18" s="189"/>
      <c r="N18" s="190">
        <f>IFERROR(VLOOKUP(Attacker_Threat_Zone[[#This Row],[Impact
C]],Impact_Mapping[],2,FALSE),0)</f>
        <v>0</v>
      </c>
      <c r="O18" s="189"/>
      <c r="P18" s="190">
        <f>IFERROR(VLOOKUP(Attacker_Threat_Zone[[#This Row],[Impact
I]],Impact_Mapping[],2,FALSE),0)</f>
        <v>0</v>
      </c>
      <c r="Q18" s="189"/>
      <c r="R18" s="190">
        <f>IFERROR(VLOOKUP(Attacker_Threat_Zone[[#This Row],[Impact
A]],Impact_Mapping[],2,FALSE),0)</f>
        <v>0</v>
      </c>
      <c r="S1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8" s="190" t="e" cm="1">
        <f t="array" ref="T18">INDEX(Risk!$C$4:$F$8,Attacker_Threat_Zone[[#This Row],[Likelihood]],VLOOKUP(Attacker_Threat_Zone[[#This Row],[Impact
C]],Impact_Mapping[],2,FALSE))</f>
        <v>#VALUE!</v>
      </c>
      <c r="U18" s="190" t="e" cm="1">
        <f t="array" ref="U18">INDEX(Risk!$C$4:$F$8,Attacker_Threat_Zone[[#This Row],[Likelihood]],VLOOKUP(Attacker_Threat_Zone[[#This Row],[Impact
I]],Impact_Mapping[],2,FALSE))</f>
        <v>#VALUE!</v>
      </c>
      <c r="V18" s="190" t="e" cm="1">
        <f t="array" ref="V18">INDEX(Risk!$C$4:$F$8,Attacker_Threat_Zone[[#This Row],[Likelihood]],VLOOKUP(Attacker_Threat_Zone[[#This Row],[Impact
A]],Impact_Mapping[],2,FALSE))</f>
        <v>#VALUE!</v>
      </c>
      <c r="W1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8" s="188" t="str">
        <f>IF(Attacker_Threat_Zone[[#This Row],[Relevance]]="No"," ",MAX(VLOOKUP(Attacker_Threat_Zone[[#This Row],[Risk
C]],SL_Mapping[],2,FALSE),0))</f>
        <v xml:space="preserve"> </v>
      </c>
      <c r="Y18" s="188" t="str">
        <f>IF(Attacker_Threat_Zone[[#This Row],[Relevance]]="No"," ",MAX(VLOOKUP(Attacker_Threat_Zone[[#This Row],[Risk
I]],SL_Mapping[],2,FALSE),0))</f>
        <v xml:space="preserve"> </v>
      </c>
      <c r="Z18" s="188" t="str">
        <f>IF(Attacker_Threat_Zone[[#This Row],[Relevance]]="No"," ",MAX(VLOOKUP(Attacker_Threat_Zone[[#This Row],[Risk
A]],SL_Mapping[],2,FALSE),0))</f>
        <v xml:space="preserve"> </v>
      </c>
      <c r="AA1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8" s="72"/>
    </row>
    <row r="19" spans="1:34">
      <c r="A19" s="47" t="s">
        <v>103</v>
      </c>
      <c r="B19" s="51" t="s">
        <v>9</v>
      </c>
      <c r="C19" s="51" t="s">
        <v>96</v>
      </c>
      <c r="D19" s="51" t="s">
        <v>94</v>
      </c>
      <c r="E19" s="51" t="s">
        <v>81</v>
      </c>
      <c r="F19" s="51" t="s">
        <v>96</v>
      </c>
      <c r="G19" s="51" t="s">
        <v>97</v>
      </c>
      <c r="H19" s="51" t="s">
        <v>83</v>
      </c>
      <c r="I19" s="52" t="s">
        <v>91</v>
      </c>
      <c r="J19" s="189"/>
      <c r="K19" s="189"/>
      <c r="L19" s="190" t="str">
        <f>IF(Attacker_Threat_Zone[[#This Row],[Relevance]]="No"," ",MAX(Attacker_Threat_Zone[[#This Row],[Exposure]]+Attacker_Threat_Zone[[#This Row],[Vulnerability]]-1,1))</f>
        <v xml:space="preserve"> </v>
      </c>
      <c r="M19" s="189"/>
      <c r="N19" s="190">
        <f>IFERROR(VLOOKUP(Attacker_Threat_Zone[[#This Row],[Impact
C]],Impact_Mapping[],2,FALSE),0)</f>
        <v>0</v>
      </c>
      <c r="O19" s="189"/>
      <c r="P19" s="190">
        <f>IFERROR(VLOOKUP(Attacker_Threat_Zone[[#This Row],[Impact
I]],Impact_Mapping[],2,FALSE),0)</f>
        <v>0</v>
      </c>
      <c r="Q19" s="189"/>
      <c r="R19" s="190">
        <f>IFERROR(VLOOKUP(Attacker_Threat_Zone[[#This Row],[Impact
A]],Impact_Mapping[],2,FALSE),0)</f>
        <v>0</v>
      </c>
      <c r="S1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19" s="190" t="e" cm="1">
        <f t="array" ref="T19">INDEX(Risk!$C$4:$F$8,Attacker_Threat_Zone[[#This Row],[Likelihood]],VLOOKUP(Attacker_Threat_Zone[[#This Row],[Impact
C]],Impact_Mapping[],2,FALSE))</f>
        <v>#VALUE!</v>
      </c>
      <c r="U19" s="190" t="e" cm="1">
        <f t="array" ref="U19">INDEX(Risk!$C$4:$F$8,Attacker_Threat_Zone[[#This Row],[Likelihood]],VLOOKUP(Attacker_Threat_Zone[[#This Row],[Impact
I]],Impact_Mapping[],2,FALSE))</f>
        <v>#VALUE!</v>
      </c>
      <c r="V19" s="190" t="e" cm="1">
        <f t="array" ref="V19">INDEX(Risk!$C$4:$F$8,Attacker_Threat_Zone[[#This Row],[Likelihood]],VLOOKUP(Attacker_Threat_Zone[[#This Row],[Impact
A]],Impact_Mapping[],2,FALSE))</f>
        <v>#VALUE!</v>
      </c>
      <c r="W1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19" s="188" t="str">
        <f>IF(Attacker_Threat_Zone[[#This Row],[Relevance]]="No"," ",MAX(VLOOKUP(Attacker_Threat_Zone[[#This Row],[Risk
C]],SL_Mapping[],2,FALSE),0))</f>
        <v xml:space="preserve"> </v>
      </c>
      <c r="Y19" s="188" t="str">
        <f>IF(Attacker_Threat_Zone[[#This Row],[Relevance]]="No"," ",MAX(VLOOKUP(Attacker_Threat_Zone[[#This Row],[Risk
I]],SL_Mapping[],2,FALSE),0))</f>
        <v xml:space="preserve"> </v>
      </c>
      <c r="Z19" s="188" t="str">
        <f>IF(Attacker_Threat_Zone[[#This Row],[Relevance]]="No"," ",MAX(VLOOKUP(Attacker_Threat_Zone[[#This Row],[Risk
A]],SL_Mapping[],2,FALSE),0))</f>
        <v xml:space="preserve"> </v>
      </c>
      <c r="AA1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1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1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1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1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1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1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19" s="72"/>
    </row>
    <row r="20" spans="1:34">
      <c r="A20" s="47" t="s">
        <v>104</v>
      </c>
      <c r="B20" s="51" t="s">
        <v>96</v>
      </c>
      <c r="C20" s="51" t="s">
        <v>96</v>
      </c>
      <c r="D20" s="51" t="s">
        <v>94</v>
      </c>
      <c r="E20" s="51" t="s">
        <v>81</v>
      </c>
      <c r="F20" s="51" t="s">
        <v>96</v>
      </c>
      <c r="G20" s="51" t="s">
        <v>97</v>
      </c>
      <c r="H20" s="51" t="s">
        <v>83</v>
      </c>
      <c r="I20" s="52" t="s">
        <v>91</v>
      </c>
      <c r="J20" s="189"/>
      <c r="K20" s="189"/>
      <c r="L20" s="190" t="str">
        <f>IF(Attacker_Threat_Zone[[#This Row],[Relevance]]="No"," ",MAX(Attacker_Threat_Zone[[#This Row],[Exposure]]+Attacker_Threat_Zone[[#This Row],[Vulnerability]]-1,1))</f>
        <v xml:space="preserve"> </v>
      </c>
      <c r="M20" s="189"/>
      <c r="N20" s="190">
        <f>IFERROR(VLOOKUP(Attacker_Threat_Zone[[#This Row],[Impact
C]],Impact_Mapping[],2,FALSE),0)</f>
        <v>0</v>
      </c>
      <c r="O20" s="189"/>
      <c r="P20" s="190">
        <f>IFERROR(VLOOKUP(Attacker_Threat_Zone[[#This Row],[Impact
I]],Impact_Mapping[],2,FALSE),0)</f>
        <v>0</v>
      </c>
      <c r="Q20" s="189"/>
      <c r="R20" s="190">
        <f>IFERROR(VLOOKUP(Attacker_Threat_Zone[[#This Row],[Impact
A]],Impact_Mapping[],2,FALSE),0)</f>
        <v>0</v>
      </c>
      <c r="S20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0" s="190" t="e" cm="1">
        <f t="array" ref="T20">INDEX(Risk!$C$4:$F$8,Attacker_Threat_Zone[[#This Row],[Likelihood]],VLOOKUP(Attacker_Threat_Zone[[#This Row],[Impact
C]],Impact_Mapping[],2,FALSE))</f>
        <v>#VALUE!</v>
      </c>
      <c r="U20" s="190" t="e" cm="1">
        <f t="array" ref="U20">INDEX(Risk!$C$4:$F$8,Attacker_Threat_Zone[[#This Row],[Likelihood]],VLOOKUP(Attacker_Threat_Zone[[#This Row],[Impact
I]],Impact_Mapping[],2,FALSE))</f>
        <v>#VALUE!</v>
      </c>
      <c r="V20" s="190" t="e" cm="1">
        <f t="array" ref="V20">INDEX(Risk!$C$4:$F$8,Attacker_Threat_Zone[[#This Row],[Likelihood]],VLOOKUP(Attacker_Threat_Zone[[#This Row],[Impact
A]],Impact_Mapping[],2,FALSE))</f>
        <v>#VALUE!</v>
      </c>
      <c r="W20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0" s="188" t="str">
        <f>IF(Attacker_Threat_Zone[[#This Row],[Relevance]]="No"," ",MAX(VLOOKUP(Attacker_Threat_Zone[[#This Row],[Risk
C]],SL_Mapping[],2,FALSE),0))</f>
        <v xml:space="preserve"> </v>
      </c>
      <c r="Y20" s="188" t="str">
        <f>IF(Attacker_Threat_Zone[[#This Row],[Relevance]]="No"," ",MAX(VLOOKUP(Attacker_Threat_Zone[[#This Row],[Risk
I]],SL_Mapping[],2,FALSE),0))</f>
        <v xml:space="preserve"> </v>
      </c>
      <c r="Z20" s="188" t="str">
        <f>IF(Attacker_Threat_Zone[[#This Row],[Relevance]]="No"," ",MAX(VLOOKUP(Attacker_Threat_Zone[[#This Row],[Risk
A]],SL_Mapping[],2,FALSE),0))</f>
        <v xml:space="preserve"> </v>
      </c>
      <c r="AA2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0" s="72"/>
    </row>
    <row r="21" spans="1:34">
      <c r="A21" s="47" t="s">
        <v>105</v>
      </c>
      <c r="B21" s="51" t="s">
        <v>96</v>
      </c>
      <c r="C21" s="51" t="s">
        <v>96</v>
      </c>
      <c r="D21" s="51" t="s">
        <v>94</v>
      </c>
      <c r="E21" s="51" t="s">
        <v>81</v>
      </c>
      <c r="F21" s="51" t="s">
        <v>96</v>
      </c>
      <c r="G21" s="51" t="s">
        <v>97</v>
      </c>
      <c r="H21" s="51" t="s">
        <v>83</v>
      </c>
      <c r="I21" s="52" t="s">
        <v>91</v>
      </c>
      <c r="J21" s="189"/>
      <c r="K21" s="189"/>
      <c r="L21" s="190" t="str">
        <f>IF(Attacker_Threat_Zone[[#This Row],[Relevance]]="No"," ",MAX(Attacker_Threat_Zone[[#This Row],[Exposure]]+Attacker_Threat_Zone[[#This Row],[Vulnerability]]-1,1))</f>
        <v xml:space="preserve"> </v>
      </c>
      <c r="M21" s="189"/>
      <c r="N21" s="190">
        <f>IFERROR(VLOOKUP(Attacker_Threat_Zone[[#This Row],[Impact
C]],Impact_Mapping[],2,FALSE),0)</f>
        <v>0</v>
      </c>
      <c r="O21" s="189"/>
      <c r="P21" s="190">
        <f>IFERROR(VLOOKUP(Attacker_Threat_Zone[[#This Row],[Impact
I]],Impact_Mapping[],2,FALSE),0)</f>
        <v>0</v>
      </c>
      <c r="Q21" s="189"/>
      <c r="R21" s="190">
        <f>IFERROR(VLOOKUP(Attacker_Threat_Zone[[#This Row],[Impact
A]],Impact_Mapping[],2,FALSE),0)</f>
        <v>0</v>
      </c>
      <c r="S2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1" s="190" t="e" cm="1">
        <f t="array" ref="T21">INDEX(Risk!$C$4:$F$8,Attacker_Threat_Zone[[#This Row],[Likelihood]],VLOOKUP(Attacker_Threat_Zone[[#This Row],[Impact
C]],Impact_Mapping[],2,FALSE))</f>
        <v>#VALUE!</v>
      </c>
      <c r="U21" s="190" t="e" cm="1">
        <f t="array" ref="U21">INDEX(Risk!$C$4:$F$8,Attacker_Threat_Zone[[#This Row],[Likelihood]],VLOOKUP(Attacker_Threat_Zone[[#This Row],[Impact
I]],Impact_Mapping[],2,FALSE))</f>
        <v>#VALUE!</v>
      </c>
      <c r="V21" s="190" t="e" cm="1">
        <f t="array" ref="V21">INDEX(Risk!$C$4:$F$8,Attacker_Threat_Zone[[#This Row],[Likelihood]],VLOOKUP(Attacker_Threat_Zone[[#This Row],[Impact
A]],Impact_Mapping[],2,FALSE))</f>
        <v>#VALUE!</v>
      </c>
      <c r="W2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1" s="188" t="str">
        <f>IF(Attacker_Threat_Zone[[#This Row],[Relevance]]="No"," ",MAX(VLOOKUP(Attacker_Threat_Zone[[#This Row],[Risk
C]],SL_Mapping[],2,FALSE),0))</f>
        <v xml:space="preserve"> </v>
      </c>
      <c r="Y21" s="188" t="str">
        <f>IF(Attacker_Threat_Zone[[#This Row],[Relevance]]="No"," ",MAX(VLOOKUP(Attacker_Threat_Zone[[#This Row],[Risk
I]],SL_Mapping[],2,FALSE),0))</f>
        <v xml:space="preserve"> </v>
      </c>
      <c r="Z21" s="188" t="str">
        <f>IF(Attacker_Threat_Zone[[#This Row],[Relevance]]="No"," ",MAX(VLOOKUP(Attacker_Threat_Zone[[#This Row],[Risk
A]],SL_Mapping[],2,FALSE),0))</f>
        <v xml:space="preserve"> </v>
      </c>
      <c r="AA21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1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1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1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1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1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1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1" s="72"/>
    </row>
    <row r="22" spans="1:34">
      <c r="A22" s="47" t="s">
        <v>106</v>
      </c>
      <c r="B22" s="51" t="s">
        <v>96</v>
      </c>
      <c r="C22" s="51" t="s">
        <v>96</v>
      </c>
      <c r="D22" s="51" t="s">
        <v>94</v>
      </c>
      <c r="E22" s="51" t="s">
        <v>81</v>
      </c>
      <c r="F22" s="51" t="s">
        <v>96</v>
      </c>
      <c r="G22" s="51" t="s">
        <v>97</v>
      </c>
      <c r="H22" s="51" t="s">
        <v>83</v>
      </c>
      <c r="I22" s="52" t="s">
        <v>91</v>
      </c>
      <c r="J22" s="189"/>
      <c r="K22" s="189"/>
      <c r="L22" s="190" t="str">
        <f>IF(Attacker_Threat_Zone[[#This Row],[Relevance]]="No"," ",MAX(Attacker_Threat_Zone[[#This Row],[Exposure]]+Attacker_Threat_Zone[[#This Row],[Vulnerability]]-1,1))</f>
        <v xml:space="preserve"> </v>
      </c>
      <c r="M22" s="189"/>
      <c r="N22" s="190">
        <f>IFERROR(VLOOKUP(Attacker_Threat_Zone[[#This Row],[Impact
C]],Impact_Mapping[],2,FALSE),0)</f>
        <v>0</v>
      </c>
      <c r="O22" s="189"/>
      <c r="P22" s="190">
        <f>IFERROR(VLOOKUP(Attacker_Threat_Zone[[#This Row],[Impact
I]],Impact_Mapping[],2,FALSE),0)</f>
        <v>0</v>
      </c>
      <c r="Q22" s="189"/>
      <c r="R22" s="190">
        <f>IFERROR(VLOOKUP(Attacker_Threat_Zone[[#This Row],[Impact
A]],Impact_Mapping[],2,FALSE),0)</f>
        <v>0</v>
      </c>
      <c r="S2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2" s="190" t="e" cm="1">
        <f t="array" ref="T22">INDEX(Risk!$C$4:$F$8,Attacker_Threat_Zone[[#This Row],[Likelihood]],VLOOKUP(Attacker_Threat_Zone[[#This Row],[Impact
C]],Impact_Mapping[],2,FALSE))</f>
        <v>#VALUE!</v>
      </c>
      <c r="U22" s="190" t="e" cm="1">
        <f t="array" ref="U22">INDEX(Risk!$C$4:$F$8,Attacker_Threat_Zone[[#This Row],[Likelihood]],VLOOKUP(Attacker_Threat_Zone[[#This Row],[Impact
I]],Impact_Mapping[],2,FALSE))</f>
        <v>#VALUE!</v>
      </c>
      <c r="V22" s="190" t="e" cm="1">
        <f t="array" ref="V22">INDEX(Risk!$C$4:$F$8,Attacker_Threat_Zone[[#This Row],[Likelihood]],VLOOKUP(Attacker_Threat_Zone[[#This Row],[Impact
A]],Impact_Mapping[],2,FALSE))</f>
        <v>#VALUE!</v>
      </c>
      <c r="W2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2" s="188" t="str">
        <f>IF(Attacker_Threat_Zone[[#This Row],[Relevance]]="No"," ",MAX(VLOOKUP(Attacker_Threat_Zone[[#This Row],[Risk
C]],SL_Mapping[],2,FALSE),0))</f>
        <v xml:space="preserve"> </v>
      </c>
      <c r="Y22" s="188" t="str">
        <f>IF(Attacker_Threat_Zone[[#This Row],[Relevance]]="No"," ",MAX(VLOOKUP(Attacker_Threat_Zone[[#This Row],[Risk
I]],SL_Mapping[],2,FALSE),0))</f>
        <v xml:space="preserve"> </v>
      </c>
      <c r="Z22" s="188" t="str">
        <f>IF(Attacker_Threat_Zone[[#This Row],[Relevance]]="No"," ",MAX(VLOOKUP(Attacker_Threat_Zone[[#This Row],[Risk
A]],SL_Mapping[],2,FALSE),0))</f>
        <v xml:space="preserve"> </v>
      </c>
      <c r="AA2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2" s="72"/>
    </row>
    <row r="23" spans="1:34">
      <c r="A23" s="47" t="s">
        <v>107</v>
      </c>
      <c r="B23" s="51" t="s">
        <v>9</v>
      </c>
      <c r="C23" s="51" t="s">
        <v>97</v>
      </c>
      <c r="D23" s="51" t="s">
        <v>94</v>
      </c>
      <c r="E23" s="51" t="s">
        <v>9</v>
      </c>
      <c r="F23" s="51" t="s">
        <v>9</v>
      </c>
      <c r="G23" s="51" t="s">
        <v>97</v>
      </c>
      <c r="H23" s="51" t="s">
        <v>83</v>
      </c>
      <c r="I23" s="52" t="s">
        <v>91</v>
      </c>
      <c r="J23" s="189"/>
      <c r="K23" s="189"/>
      <c r="L23" s="190" t="str">
        <f>IF(Attacker_Threat_Zone[[#This Row],[Relevance]]="No"," ",MAX(Attacker_Threat_Zone[[#This Row],[Exposure]]+Attacker_Threat_Zone[[#This Row],[Vulnerability]]-1,1))</f>
        <v xml:space="preserve"> </v>
      </c>
      <c r="M23" s="189"/>
      <c r="N23" s="190">
        <f>IFERROR(VLOOKUP(Attacker_Threat_Zone[[#This Row],[Impact
C]],Impact_Mapping[],2,FALSE),0)</f>
        <v>0</v>
      </c>
      <c r="O23" s="189"/>
      <c r="P23" s="190">
        <f>IFERROR(VLOOKUP(Attacker_Threat_Zone[[#This Row],[Impact
I]],Impact_Mapping[],2,FALSE),0)</f>
        <v>0</v>
      </c>
      <c r="Q23" s="189"/>
      <c r="R23" s="190">
        <f>IFERROR(VLOOKUP(Attacker_Threat_Zone[[#This Row],[Impact
A]],Impact_Mapping[],2,FALSE),0)</f>
        <v>0</v>
      </c>
      <c r="S2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3" s="190" t="e" cm="1">
        <f t="array" ref="T23">INDEX(Risk!$C$4:$F$8,Attacker_Threat_Zone[[#This Row],[Likelihood]],VLOOKUP(Attacker_Threat_Zone[[#This Row],[Impact
C]],Impact_Mapping[],2,FALSE))</f>
        <v>#VALUE!</v>
      </c>
      <c r="U23" s="190" t="e" cm="1">
        <f t="array" ref="U23">INDEX(Risk!$C$4:$F$8,Attacker_Threat_Zone[[#This Row],[Likelihood]],VLOOKUP(Attacker_Threat_Zone[[#This Row],[Impact
I]],Impact_Mapping[],2,FALSE))</f>
        <v>#VALUE!</v>
      </c>
      <c r="V23" s="190" t="e" cm="1">
        <f t="array" ref="V23">INDEX(Risk!$C$4:$F$8,Attacker_Threat_Zone[[#This Row],[Likelihood]],VLOOKUP(Attacker_Threat_Zone[[#This Row],[Impact
A]],Impact_Mapping[],2,FALSE))</f>
        <v>#VALUE!</v>
      </c>
      <c r="W2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3" s="188" t="str">
        <f>IF(Attacker_Threat_Zone[[#This Row],[Relevance]]="No"," ",MAX(VLOOKUP(Attacker_Threat_Zone[[#This Row],[Risk
C]],SL_Mapping[],2,FALSE),0))</f>
        <v xml:space="preserve"> </v>
      </c>
      <c r="Y23" s="188" t="str">
        <f>IF(Attacker_Threat_Zone[[#This Row],[Relevance]]="No"," ",MAX(VLOOKUP(Attacker_Threat_Zone[[#This Row],[Risk
I]],SL_Mapping[],2,FALSE),0))</f>
        <v xml:space="preserve"> </v>
      </c>
      <c r="Z23" s="188" t="str">
        <f>IF(Attacker_Threat_Zone[[#This Row],[Relevance]]="No"," ",MAX(VLOOKUP(Attacker_Threat_Zone[[#This Row],[Risk
A]],SL_Mapping[],2,FALSE),0))</f>
        <v xml:space="preserve"> </v>
      </c>
      <c r="AA2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3" s="72"/>
    </row>
    <row r="24" spans="1:34">
      <c r="A24" s="47" t="s">
        <v>108</v>
      </c>
      <c r="B24" s="51" t="s">
        <v>81</v>
      </c>
      <c r="C24" s="51" t="s">
        <v>81</v>
      </c>
      <c r="D24" s="51" t="s">
        <v>9</v>
      </c>
      <c r="E24" s="51" t="s">
        <v>81</v>
      </c>
      <c r="F24" s="51" t="s">
        <v>81</v>
      </c>
      <c r="G24" s="51" t="s">
        <v>9</v>
      </c>
      <c r="H24" s="51" t="s">
        <v>9</v>
      </c>
      <c r="I24" s="52" t="s">
        <v>91</v>
      </c>
      <c r="J24" s="189"/>
      <c r="K24" s="189"/>
      <c r="L24" s="190" t="str">
        <f>IF(Attacker_Threat_Zone[[#This Row],[Relevance]]="No"," ",MAX(Attacker_Threat_Zone[[#This Row],[Exposure]]+Attacker_Threat_Zone[[#This Row],[Vulnerability]]-1,1))</f>
        <v xml:space="preserve"> </v>
      </c>
      <c r="M24" s="189"/>
      <c r="N24" s="190">
        <f>IFERROR(VLOOKUP(Attacker_Threat_Zone[[#This Row],[Impact
C]],Impact_Mapping[],2,FALSE),0)</f>
        <v>0</v>
      </c>
      <c r="O24" s="189"/>
      <c r="P24" s="190">
        <f>IFERROR(VLOOKUP(Attacker_Threat_Zone[[#This Row],[Impact
I]],Impact_Mapping[],2,FALSE),0)</f>
        <v>0</v>
      </c>
      <c r="Q24" s="189"/>
      <c r="R24" s="190">
        <f>IFERROR(VLOOKUP(Attacker_Threat_Zone[[#This Row],[Impact
A]],Impact_Mapping[],2,FALSE),0)</f>
        <v>0</v>
      </c>
      <c r="S2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4" s="190" t="e" cm="1">
        <f t="array" ref="T24">INDEX(Risk!$C$4:$F$8,Attacker_Threat_Zone[[#This Row],[Likelihood]],VLOOKUP(Attacker_Threat_Zone[[#This Row],[Impact
C]],Impact_Mapping[],2,FALSE))</f>
        <v>#VALUE!</v>
      </c>
      <c r="U24" s="190" t="e" cm="1">
        <f t="array" ref="U24">INDEX(Risk!$C$4:$F$8,Attacker_Threat_Zone[[#This Row],[Likelihood]],VLOOKUP(Attacker_Threat_Zone[[#This Row],[Impact
I]],Impact_Mapping[],2,FALSE))</f>
        <v>#VALUE!</v>
      </c>
      <c r="V24" s="190" t="e" cm="1">
        <f t="array" ref="V24">INDEX(Risk!$C$4:$F$8,Attacker_Threat_Zone[[#This Row],[Likelihood]],VLOOKUP(Attacker_Threat_Zone[[#This Row],[Impact
A]],Impact_Mapping[],2,FALSE))</f>
        <v>#VALUE!</v>
      </c>
      <c r="W2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4" s="188" t="str">
        <f>IF(Attacker_Threat_Zone[[#This Row],[Relevance]]="No"," ",MAX(VLOOKUP(Attacker_Threat_Zone[[#This Row],[Risk
C]],SL_Mapping[],2,FALSE),0))</f>
        <v xml:space="preserve"> </v>
      </c>
      <c r="Y24" s="188" t="str">
        <f>IF(Attacker_Threat_Zone[[#This Row],[Relevance]]="No"," ",MAX(VLOOKUP(Attacker_Threat_Zone[[#This Row],[Risk
I]],SL_Mapping[],2,FALSE),0))</f>
        <v xml:space="preserve"> </v>
      </c>
      <c r="Z24" s="188" t="str">
        <f>IF(Attacker_Threat_Zone[[#This Row],[Relevance]]="No"," ",MAX(VLOOKUP(Attacker_Threat_Zone[[#This Row],[Risk
A]],SL_Mapping[],2,FALSE),0))</f>
        <v xml:space="preserve"> </v>
      </c>
      <c r="AA24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4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4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4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4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4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4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4" s="72"/>
    </row>
    <row r="25" spans="1:34">
      <c r="A25" s="47" t="s">
        <v>109</v>
      </c>
      <c r="B25" s="51" t="s">
        <v>96</v>
      </c>
      <c r="C25" s="51" t="s">
        <v>96</v>
      </c>
      <c r="D25" s="51" t="s">
        <v>94</v>
      </c>
      <c r="E25" s="51" t="s">
        <v>81</v>
      </c>
      <c r="F25" s="51" t="s">
        <v>96</v>
      </c>
      <c r="G25" s="51" t="s">
        <v>97</v>
      </c>
      <c r="H25" s="51" t="s">
        <v>83</v>
      </c>
      <c r="I25" s="52" t="s">
        <v>91</v>
      </c>
      <c r="J25" s="189"/>
      <c r="K25" s="189"/>
      <c r="L25" s="190" t="str">
        <f>IF(Attacker_Threat_Zone[[#This Row],[Relevance]]="No"," ",MAX(Attacker_Threat_Zone[[#This Row],[Exposure]]+Attacker_Threat_Zone[[#This Row],[Vulnerability]]-1,1))</f>
        <v xml:space="preserve"> </v>
      </c>
      <c r="M25" s="189"/>
      <c r="N25" s="190">
        <f>IFERROR(VLOOKUP(Attacker_Threat_Zone[[#This Row],[Impact
C]],Impact_Mapping[],2,FALSE),0)</f>
        <v>0</v>
      </c>
      <c r="O25" s="189"/>
      <c r="P25" s="190">
        <f>IFERROR(VLOOKUP(Attacker_Threat_Zone[[#This Row],[Impact
I]],Impact_Mapping[],2,FALSE),0)</f>
        <v>0</v>
      </c>
      <c r="Q25" s="189"/>
      <c r="R25" s="190">
        <f>IFERROR(VLOOKUP(Attacker_Threat_Zone[[#This Row],[Impact
A]],Impact_Mapping[],2,FALSE),0)</f>
        <v>0</v>
      </c>
      <c r="S25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5" s="190" t="e" cm="1">
        <f t="array" ref="T25">INDEX(Risk!$C$4:$F$8,Attacker_Threat_Zone[[#This Row],[Likelihood]],VLOOKUP(Attacker_Threat_Zone[[#This Row],[Impact
C]],Impact_Mapping[],2,FALSE))</f>
        <v>#VALUE!</v>
      </c>
      <c r="U25" s="190" t="e" cm="1">
        <f t="array" ref="U25">INDEX(Risk!$C$4:$F$8,Attacker_Threat_Zone[[#This Row],[Likelihood]],VLOOKUP(Attacker_Threat_Zone[[#This Row],[Impact
I]],Impact_Mapping[],2,FALSE))</f>
        <v>#VALUE!</v>
      </c>
      <c r="V25" s="190" t="e" cm="1">
        <f t="array" ref="V25">INDEX(Risk!$C$4:$F$8,Attacker_Threat_Zone[[#This Row],[Likelihood]],VLOOKUP(Attacker_Threat_Zone[[#This Row],[Impact
A]],Impact_Mapping[],2,FALSE))</f>
        <v>#VALUE!</v>
      </c>
      <c r="W25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5" s="188" t="str">
        <f>IF(Attacker_Threat_Zone[[#This Row],[Relevance]]="No"," ",MAX(VLOOKUP(Attacker_Threat_Zone[[#This Row],[Risk
C]],SL_Mapping[],2,FALSE),0))</f>
        <v xml:space="preserve"> </v>
      </c>
      <c r="Y25" s="188" t="str">
        <f>IF(Attacker_Threat_Zone[[#This Row],[Relevance]]="No"," ",MAX(VLOOKUP(Attacker_Threat_Zone[[#This Row],[Risk
I]],SL_Mapping[],2,FALSE),0))</f>
        <v xml:space="preserve"> </v>
      </c>
      <c r="Z25" s="188" t="str">
        <f>IF(Attacker_Threat_Zone[[#This Row],[Relevance]]="No"," ",MAX(VLOOKUP(Attacker_Threat_Zone[[#This Row],[Risk
A]],SL_Mapping[],2,FALSE),0))</f>
        <v xml:space="preserve"> </v>
      </c>
      <c r="AA25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5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5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5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5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5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5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5" s="72"/>
    </row>
    <row r="26" spans="1:34">
      <c r="A26" s="47" t="s">
        <v>110</v>
      </c>
      <c r="B26" s="51" t="s">
        <v>83</v>
      </c>
      <c r="C26" s="51" t="s">
        <v>83</v>
      </c>
      <c r="D26" s="51" t="s">
        <v>9</v>
      </c>
      <c r="E26" s="51" t="s">
        <v>9</v>
      </c>
      <c r="F26" s="51" t="s">
        <v>9</v>
      </c>
      <c r="G26" s="51" t="s">
        <v>83</v>
      </c>
      <c r="H26" s="51" t="s">
        <v>83</v>
      </c>
      <c r="I26" s="52" t="s">
        <v>91</v>
      </c>
      <c r="J26" s="189"/>
      <c r="K26" s="189"/>
      <c r="L26" s="190" t="str">
        <f>IF(Attacker_Threat_Zone[[#This Row],[Relevance]]="No"," ",MAX(Attacker_Threat_Zone[[#This Row],[Exposure]]+Attacker_Threat_Zone[[#This Row],[Vulnerability]]-1,1))</f>
        <v xml:space="preserve"> </v>
      </c>
      <c r="M26" s="189"/>
      <c r="N26" s="190">
        <f>IFERROR(VLOOKUP(Attacker_Threat_Zone[[#This Row],[Impact
C]],Impact_Mapping[],2,FALSE),0)</f>
        <v>0</v>
      </c>
      <c r="O26" s="189"/>
      <c r="P26" s="190">
        <f>IFERROR(VLOOKUP(Attacker_Threat_Zone[[#This Row],[Impact
I]],Impact_Mapping[],2,FALSE),0)</f>
        <v>0</v>
      </c>
      <c r="Q26" s="189"/>
      <c r="R26" s="190">
        <f>IFERROR(VLOOKUP(Attacker_Threat_Zone[[#This Row],[Impact
A]],Impact_Mapping[],2,FALSE),0)</f>
        <v>0</v>
      </c>
      <c r="S2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6" s="190" t="e" cm="1">
        <f t="array" ref="T26">INDEX(Risk!$C$4:$F$8,Attacker_Threat_Zone[[#This Row],[Likelihood]],VLOOKUP(Attacker_Threat_Zone[[#This Row],[Impact
C]],Impact_Mapping[],2,FALSE))</f>
        <v>#VALUE!</v>
      </c>
      <c r="U26" s="190" t="e" cm="1">
        <f t="array" ref="U26">INDEX(Risk!$C$4:$F$8,Attacker_Threat_Zone[[#This Row],[Likelihood]],VLOOKUP(Attacker_Threat_Zone[[#This Row],[Impact
I]],Impact_Mapping[],2,FALSE))</f>
        <v>#VALUE!</v>
      </c>
      <c r="V26" s="190" t="e" cm="1">
        <f t="array" ref="V26">INDEX(Risk!$C$4:$F$8,Attacker_Threat_Zone[[#This Row],[Likelihood]],VLOOKUP(Attacker_Threat_Zone[[#This Row],[Impact
A]],Impact_Mapping[],2,FALSE))</f>
        <v>#VALUE!</v>
      </c>
      <c r="W2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6" s="188" t="str">
        <f>IF(Attacker_Threat_Zone[[#This Row],[Relevance]]="No"," ",MAX(VLOOKUP(Attacker_Threat_Zone[[#This Row],[Risk
C]],SL_Mapping[],2,FALSE),0))</f>
        <v xml:space="preserve"> </v>
      </c>
      <c r="Y26" s="188" t="str">
        <f>IF(Attacker_Threat_Zone[[#This Row],[Relevance]]="No"," ",MAX(VLOOKUP(Attacker_Threat_Zone[[#This Row],[Risk
I]],SL_Mapping[],2,FALSE),0))</f>
        <v xml:space="preserve"> </v>
      </c>
      <c r="Z26" s="188" t="str">
        <f>IF(Attacker_Threat_Zone[[#This Row],[Relevance]]="No"," ",MAX(VLOOKUP(Attacker_Threat_Zone[[#This Row],[Risk
A]],SL_Mapping[],2,FALSE),0))</f>
        <v xml:space="preserve"> </v>
      </c>
      <c r="AA26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6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6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6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6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6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6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6" s="72"/>
    </row>
    <row r="27" spans="1:34">
      <c r="A27" s="47" t="s">
        <v>111</v>
      </c>
      <c r="B27" s="51" t="s">
        <v>96</v>
      </c>
      <c r="C27" s="51" t="s">
        <v>96</v>
      </c>
      <c r="D27" s="51" t="s">
        <v>94</v>
      </c>
      <c r="E27" s="51" t="s">
        <v>81</v>
      </c>
      <c r="F27" s="51" t="s">
        <v>96</v>
      </c>
      <c r="G27" s="51" t="s">
        <v>97</v>
      </c>
      <c r="H27" s="51" t="s">
        <v>83</v>
      </c>
      <c r="I27" s="52" t="s">
        <v>91</v>
      </c>
      <c r="J27" s="189"/>
      <c r="K27" s="189"/>
      <c r="L27" s="190" t="str">
        <f>IF(Attacker_Threat_Zone[[#This Row],[Relevance]]="No"," ",MAX(Attacker_Threat_Zone[[#This Row],[Exposure]]+Attacker_Threat_Zone[[#This Row],[Vulnerability]]-1,1))</f>
        <v xml:space="preserve"> </v>
      </c>
      <c r="M27" s="189"/>
      <c r="N27" s="190">
        <f>IFERROR(VLOOKUP(Attacker_Threat_Zone[[#This Row],[Impact
C]],Impact_Mapping[],2,FALSE),0)</f>
        <v>0</v>
      </c>
      <c r="O27" s="189"/>
      <c r="P27" s="190">
        <f>IFERROR(VLOOKUP(Attacker_Threat_Zone[[#This Row],[Impact
I]],Impact_Mapping[],2,FALSE),0)</f>
        <v>0</v>
      </c>
      <c r="Q27" s="189"/>
      <c r="R27" s="190">
        <f>IFERROR(VLOOKUP(Attacker_Threat_Zone[[#This Row],[Impact
A]],Impact_Mapping[],2,FALSE),0)</f>
        <v>0</v>
      </c>
      <c r="S2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7" s="190" t="e" cm="1">
        <f t="array" ref="T27">INDEX(Risk!$C$4:$F$8,Attacker_Threat_Zone[[#This Row],[Likelihood]],VLOOKUP(Attacker_Threat_Zone[[#This Row],[Impact
C]],Impact_Mapping[],2,FALSE))</f>
        <v>#VALUE!</v>
      </c>
      <c r="U27" s="190" t="e" cm="1">
        <f t="array" ref="U27">INDEX(Risk!$C$4:$F$8,Attacker_Threat_Zone[[#This Row],[Likelihood]],VLOOKUP(Attacker_Threat_Zone[[#This Row],[Impact
I]],Impact_Mapping[],2,FALSE))</f>
        <v>#VALUE!</v>
      </c>
      <c r="V27" s="190" t="e" cm="1">
        <f t="array" ref="V27">INDEX(Risk!$C$4:$F$8,Attacker_Threat_Zone[[#This Row],[Likelihood]],VLOOKUP(Attacker_Threat_Zone[[#This Row],[Impact
A]],Impact_Mapping[],2,FALSE))</f>
        <v>#VALUE!</v>
      </c>
      <c r="W2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7" s="188" t="str">
        <f>IF(Attacker_Threat_Zone[[#This Row],[Relevance]]="No"," ",MAX(VLOOKUP(Attacker_Threat_Zone[[#This Row],[Risk
C]],SL_Mapping[],2,FALSE),0))</f>
        <v xml:space="preserve"> </v>
      </c>
      <c r="Y27" s="188" t="str">
        <f>IF(Attacker_Threat_Zone[[#This Row],[Relevance]]="No"," ",MAX(VLOOKUP(Attacker_Threat_Zone[[#This Row],[Risk
I]],SL_Mapping[],2,FALSE),0))</f>
        <v xml:space="preserve"> </v>
      </c>
      <c r="Z27" s="188" t="str">
        <f>IF(Attacker_Threat_Zone[[#This Row],[Relevance]]="No"," ",MAX(VLOOKUP(Attacker_Threat_Zone[[#This Row],[Risk
A]],SL_Mapping[],2,FALSE),0))</f>
        <v xml:space="preserve"> </v>
      </c>
      <c r="AA2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7" s="72"/>
    </row>
    <row r="28" spans="1:34">
      <c r="A28" s="47" t="s">
        <v>112</v>
      </c>
      <c r="B28" s="51" t="s">
        <v>96</v>
      </c>
      <c r="C28" s="51" t="s">
        <v>96</v>
      </c>
      <c r="D28" s="51" t="s">
        <v>94</v>
      </c>
      <c r="E28" s="51" t="s">
        <v>81</v>
      </c>
      <c r="F28" s="51" t="s">
        <v>96</v>
      </c>
      <c r="G28" s="51" t="s">
        <v>97</v>
      </c>
      <c r="H28" s="51" t="s">
        <v>83</v>
      </c>
      <c r="I28" s="52" t="s">
        <v>91</v>
      </c>
      <c r="J28" s="189"/>
      <c r="K28" s="189"/>
      <c r="L28" s="190" t="str">
        <f>IF(Attacker_Threat_Zone[[#This Row],[Relevance]]="No"," ",MAX(Attacker_Threat_Zone[[#This Row],[Exposure]]+Attacker_Threat_Zone[[#This Row],[Vulnerability]]-1,1))</f>
        <v xml:space="preserve"> </v>
      </c>
      <c r="M28" s="189"/>
      <c r="N28" s="190">
        <f>IFERROR(VLOOKUP(Attacker_Threat_Zone[[#This Row],[Impact
C]],Impact_Mapping[],2,FALSE),0)</f>
        <v>0</v>
      </c>
      <c r="O28" s="189"/>
      <c r="P28" s="190">
        <f>IFERROR(VLOOKUP(Attacker_Threat_Zone[[#This Row],[Impact
I]],Impact_Mapping[],2,FALSE),0)</f>
        <v>0</v>
      </c>
      <c r="Q28" s="189"/>
      <c r="R28" s="190">
        <f>IFERROR(VLOOKUP(Attacker_Threat_Zone[[#This Row],[Impact
A]],Impact_Mapping[],2,FALSE),0)</f>
        <v>0</v>
      </c>
      <c r="S2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8" s="190" t="e" cm="1">
        <f t="array" ref="T28">INDEX(Risk!$C$4:$F$8,Attacker_Threat_Zone[[#This Row],[Likelihood]],VLOOKUP(Attacker_Threat_Zone[[#This Row],[Impact
C]],Impact_Mapping[],2,FALSE))</f>
        <v>#VALUE!</v>
      </c>
      <c r="U28" s="190" t="e" cm="1">
        <f t="array" ref="U28">INDEX(Risk!$C$4:$F$8,Attacker_Threat_Zone[[#This Row],[Likelihood]],VLOOKUP(Attacker_Threat_Zone[[#This Row],[Impact
I]],Impact_Mapping[],2,FALSE))</f>
        <v>#VALUE!</v>
      </c>
      <c r="V28" s="190" t="e" cm="1">
        <f t="array" ref="V28">INDEX(Risk!$C$4:$F$8,Attacker_Threat_Zone[[#This Row],[Likelihood]],VLOOKUP(Attacker_Threat_Zone[[#This Row],[Impact
A]],Impact_Mapping[],2,FALSE))</f>
        <v>#VALUE!</v>
      </c>
      <c r="W2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8" s="188" t="str">
        <f>IF(Attacker_Threat_Zone[[#This Row],[Relevance]]="No"," ",MAX(VLOOKUP(Attacker_Threat_Zone[[#This Row],[Risk
C]],SL_Mapping[],2,FALSE),0))</f>
        <v xml:space="preserve"> </v>
      </c>
      <c r="Y28" s="188" t="str">
        <f>IF(Attacker_Threat_Zone[[#This Row],[Relevance]]="No"," ",MAX(VLOOKUP(Attacker_Threat_Zone[[#This Row],[Risk
I]],SL_Mapping[],2,FALSE),0))</f>
        <v xml:space="preserve"> </v>
      </c>
      <c r="Z28" s="188" t="str">
        <f>IF(Attacker_Threat_Zone[[#This Row],[Relevance]]="No"," ",MAX(VLOOKUP(Attacker_Threat_Zone[[#This Row],[Risk
A]],SL_Mapping[],2,FALSE),0))</f>
        <v xml:space="preserve"> </v>
      </c>
      <c r="AA2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8" s="72"/>
    </row>
    <row r="29" spans="1:34">
      <c r="A29" s="47" t="s">
        <v>113</v>
      </c>
      <c r="B29" s="51" t="s">
        <v>96</v>
      </c>
      <c r="C29" s="51" t="s">
        <v>96</v>
      </c>
      <c r="D29" s="51" t="s">
        <v>94</v>
      </c>
      <c r="E29" s="51" t="s">
        <v>81</v>
      </c>
      <c r="F29" s="51" t="s">
        <v>96</v>
      </c>
      <c r="G29" s="51" t="s">
        <v>97</v>
      </c>
      <c r="H29" s="51" t="s">
        <v>83</v>
      </c>
      <c r="I29" s="52" t="s">
        <v>91</v>
      </c>
      <c r="J29" s="189"/>
      <c r="K29" s="189"/>
      <c r="L29" s="190" t="str">
        <f>IF(Attacker_Threat_Zone[[#This Row],[Relevance]]="No"," ",MAX(Attacker_Threat_Zone[[#This Row],[Exposure]]+Attacker_Threat_Zone[[#This Row],[Vulnerability]]-1,1))</f>
        <v xml:space="preserve"> </v>
      </c>
      <c r="M29" s="189"/>
      <c r="N29" s="190">
        <f>IFERROR(VLOOKUP(Attacker_Threat_Zone[[#This Row],[Impact
C]],Impact_Mapping[],2,FALSE),0)</f>
        <v>0</v>
      </c>
      <c r="O29" s="189"/>
      <c r="P29" s="190">
        <f>IFERROR(VLOOKUP(Attacker_Threat_Zone[[#This Row],[Impact
I]],Impact_Mapping[],2,FALSE),0)</f>
        <v>0</v>
      </c>
      <c r="Q29" s="189"/>
      <c r="R29" s="190">
        <f>IFERROR(VLOOKUP(Attacker_Threat_Zone[[#This Row],[Impact
A]],Impact_Mapping[],2,FALSE),0)</f>
        <v>0</v>
      </c>
      <c r="S2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29" s="190" t="e" cm="1">
        <f t="array" ref="T29">INDEX(Risk!$C$4:$F$8,Attacker_Threat_Zone[[#This Row],[Likelihood]],VLOOKUP(Attacker_Threat_Zone[[#This Row],[Impact
C]],Impact_Mapping[],2,FALSE))</f>
        <v>#VALUE!</v>
      </c>
      <c r="U29" s="190" t="e" cm="1">
        <f t="array" ref="U29">INDEX(Risk!$C$4:$F$8,Attacker_Threat_Zone[[#This Row],[Likelihood]],VLOOKUP(Attacker_Threat_Zone[[#This Row],[Impact
I]],Impact_Mapping[],2,FALSE))</f>
        <v>#VALUE!</v>
      </c>
      <c r="V29" s="190" t="e" cm="1">
        <f t="array" ref="V29">INDEX(Risk!$C$4:$F$8,Attacker_Threat_Zone[[#This Row],[Likelihood]],VLOOKUP(Attacker_Threat_Zone[[#This Row],[Impact
A]],Impact_Mapping[],2,FALSE))</f>
        <v>#VALUE!</v>
      </c>
      <c r="W2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29" s="188" t="str">
        <f>IF(Attacker_Threat_Zone[[#This Row],[Relevance]]="No"," ",MAX(VLOOKUP(Attacker_Threat_Zone[[#This Row],[Risk
C]],SL_Mapping[],2,FALSE),0))</f>
        <v xml:space="preserve"> </v>
      </c>
      <c r="Y29" s="188" t="str">
        <f>IF(Attacker_Threat_Zone[[#This Row],[Relevance]]="No"," ",MAX(VLOOKUP(Attacker_Threat_Zone[[#This Row],[Risk
I]],SL_Mapping[],2,FALSE),0))</f>
        <v xml:space="preserve"> </v>
      </c>
      <c r="Z29" s="188" t="str">
        <f>IF(Attacker_Threat_Zone[[#This Row],[Relevance]]="No"," ",MAX(VLOOKUP(Attacker_Threat_Zone[[#This Row],[Risk
A]],SL_Mapping[],2,FALSE),0))</f>
        <v xml:space="preserve"> </v>
      </c>
      <c r="AA2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2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2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2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2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2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2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29" s="72"/>
    </row>
    <row r="30" spans="1:34">
      <c r="A30" s="47" t="s">
        <v>114</v>
      </c>
      <c r="B30" s="51" t="s">
        <v>83</v>
      </c>
      <c r="C30" s="51" t="s">
        <v>83</v>
      </c>
      <c r="D30" s="51" t="s">
        <v>9</v>
      </c>
      <c r="E30" s="51" t="s">
        <v>9</v>
      </c>
      <c r="F30" s="51" t="s">
        <v>9</v>
      </c>
      <c r="G30" s="51" t="s">
        <v>83</v>
      </c>
      <c r="H30" s="51" t="s">
        <v>83</v>
      </c>
      <c r="I30" s="52" t="s">
        <v>91</v>
      </c>
      <c r="J30" s="189"/>
      <c r="K30" s="189"/>
      <c r="L30" s="190" t="str">
        <f>IF(Attacker_Threat_Zone[[#This Row],[Relevance]]="No"," ",MAX(Attacker_Threat_Zone[[#This Row],[Exposure]]+Attacker_Threat_Zone[[#This Row],[Vulnerability]]-1,1))</f>
        <v xml:space="preserve"> </v>
      </c>
      <c r="M30" s="189"/>
      <c r="N30" s="190">
        <f>IFERROR(VLOOKUP(Attacker_Threat_Zone[[#This Row],[Impact
C]],Impact_Mapping[],2,FALSE),0)</f>
        <v>0</v>
      </c>
      <c r="O30" s="189"/>
      <c r="P30" s="190">
        <f>IFERROR(VLOOKUP(Attacker_Threat_Zone[[#This Row],[Impact
I]],Impact_Mapping[],2,FALSE),0)</f>
        <v>0</v>
      </c>
      <c r="Q30" s="189"/>
      <c r="R30" s="190">
        <f>IFERROR(VLOOKUP(Attacker_Threat_Zone[[#This Row],[Impact
A]],Impact_Mapping[],2,FALSE),0)</f>
        <v>0</v>
      </c>
      <c r="S30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0" s="190" t="e" cm="1">
        <f t="array" ref="T30">INDEX(Risk!$C$4:$F$8,Attacker_Threat_Zone[[#This Row],[Likelihood]],VLOOKUP(Attacker_Threat_Zone[[#This Row],[Impact
C]],Impact_Mapping[],2,FALSE))</f>
        <v>#VALUE!</v>
      </c>
      <c r="U30" s="190" t="e" cm="1">
        <f t="array" ref="U30">INDEX(Risk!$C$4:$F$8,Attacker_Threat_Zone[[#This Row],[Likelihood]],VLOOKUP(Attacker_Threat_Zone[[#This Row],[Impact
I]],Impact_Mapping[],2,FALSE))</f>
        <v>#VALUE!</v>
      </c>
      <c r="V30" s="190" t="e" cm="1">
        <f t="array" ref="V30">INDEX(Risk!$C$4:$F$8,Attacker_Threat_Zone[[#This Row],[Likelihood]],VLOOKUP(Attacker_Threat_Zone[[#This Row],[Impact
A]],Impact_Mapping[],2,FALSE))</f>
        <v>#VALUE!</v>
      </c>
      <c r="W30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0" s="188" t="str">
        <f>IF(Attacker_Threat_Zone[[#This Row],[Relevance]]="No"," ",MAX(VLOOKUP(Attacker_Threat_Zone[[#This Row],[Risk
C]],SL_Mapping[],2,FALSE),0))</f>
        <v xml:space="preserve"> </v>
      </c>
      <c r="Y30" s="188" t="str">
        <f>IF(Attacker_Threat_Zone[[#This Row],[Relevance]]="No"," ",MAX(VLOOKUP(Attacker_Threat_Zone[[#This Row],[Risk
I]],SL_Mapping[],2,FALSE),0))</f>
        <v xml:space="preserve"> </v>
      </c>
      <c r="Z30" s="188" t="str">
        <f>IF(Attacker_Threat_Zone[[#This Row],[Relevance]]="No"," ",MAX(VLOOKUP(Attacker_Threat_Zone[[#This Row],[Risk
A]],SL_Mapping[],2,FALSE),0))</f>
        <v xml:space="preserve"> </v>
      </c>
      <c r="AA3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0" s="72"/>
    </row>
    <row r="31" spans="1:34">
      <c r="A31" s="47" t="s">
        <v>115</v>
      </c>
      <c r="B31" s="51" t="s">
        <v>97</v>
      </c>
      <c r="C31" s="51" t="s">
        <v>97</v>
      </c>
      <c r="D31" s="51" t="s">
        <v>94</v>
      </c>
      <c r="E31" s="51" t="s">
        <v>9</v>
      </c>
      <c r="F31" s="51" t="s">
        <v>97</v>
      </c>
      <c r="G31" s="51" t="s">
        <v>97</v>
      </c>
      <c r="H31" s="51" t="s">
        <v>83</v>
      </c>
      <c r="I31" s="52" t="s">
        <v>91</v>
      </c>
      <c r="J31" s="189"/>
      <c r="K31" s="189"/>
      <c r="L31" s="190" t="str">
        <f>IF(Attacker_Threat_Zone[[#This Row],[Relevance]]="No"," ",MAX(Attacker_Threat_Zone[[#This Row],[Exposure]]+Attacker_Threat_Zone[[#This Row],[Vulnerability]]-1,1))</f>
        <v xml:space="preserve"> </v>
      </c>
      <c r="M31" s="189"/>
      <c r="N31" s="190">
        <f>IFERROR(VLOOKUP(Attacker_Threat_Zone[[#This Row],[Impact
C]],Impact_Mapping[],2,FALSE),0)</f>
        <v>0</v>
      </c>
      <c r="O31" s="189"/>
      <c r="P31" s="190">
        <f>IFERROR(VLOOKUP(Attacker_Threat_Zone[[#This Row],[Impact
I]],Impact_Mapping[],2,FALSE),0)</f>
        <v>0</v>
      </c>
      <c r="Q31" s="189"/>
      <c r="R31" s="190">
        <f>IFERROR(VLOOKUP(Attacker_Threat_Zone[[#This Row],[Impact
A]],Impact_Mapping[],2,FALSE),0)</f>
        <v>0</v>
      </c>
      <c r="S3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1" s="190" t="e" cm="1">
        <f t="array" ref="T31">INDEX(Risk!$C$4:$F$8,Attacker_Threat_Zone[[#This Row],[Likelihood]],VLOOKUP(Attacker_Threat_Zone[[#This Row],[Impact
C]],Impact_Mapping[],2,FALSE))</f>
        <v>#VALUE!</v>
      </c>
      <c r="U31" s="190" t="e" cm="1">
        <f t="array" ref="U31">INDEX(Risk!$C$4:$F$8,Attacker_Threat_Zone[[#This Row],[Likelihood]],VLOOKUP(Attacker_Threat_Zone[[#This Row],[Impact
I]],Impact_Mapping[],2,FALSE))</f>
        <v>#VALUE!</v>
      </c>
      <c r="V31" s="190" t="e" cm="1">
        <f t="array" ref="V31">INDEX(Risk!$C$4:$F$8,Attacker_Threat_Zone[[#This Row],[Likelihood]],VLOOKUP(Attacker_Threat_Zone[[#This Row],[Impact
A]],Impact_Mapping[],2,FALSE))</f>
        <v>#VALUE!</v>
      </c>
      <c r="W3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1" s="188" t="str">
        <f>IF(Attacker_Threat_Zone[[#This Row],[Relevance]]="No"," ",MAX(VLOOKUP(Attacker_Threat_Zone[[#This Row],[Risk
C]],SL_Mapping[],2,FALSE),0))</f>
        <v xml:space="preserve"> </v>
      </c>
      <c r="Y31" s="188" t="str">
        <f>IF(Attacker_Threat_Zone[[#This Row],[Relevance]]="No"," ",MAX(VLOOKUP(Attacker_Threat_Zone[[#This Row],[Risk
I]],SL_Mapping[],2,FALSE),0))</f>
        <v xml:space="preserve"> </v>
      </c>
      <c r="Z31" s="188" t="str">
        <f>IF(Attacker_Threat_Zone[[#This Row],[Relevance]]="No"," ",MAX(VLOOKUP(Attacker_Threat_Zone[[#This Row],[Risk
A]],SL_Mapping[],2,FALSE),0))</f>
        <v xml:space="preserve"> </v>
      </c>
      <c r="AA31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1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1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1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1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1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1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1" s="72"/>
    </row>
    <row r="32" spans="1:34">
      <c r="A32" s="47" t="s">
        <v>116</v>
      </c>
      <c r="B32" s="51" t="s">
        <v>96</v>
      </c>
      <c r="C32" s="51" t="s">
        <v>96</v>
      </c>
      <c r="D32" s="51" t="s">
        <v>94</v>
      </c>
      <c r="E32" s="51" t="s">
        <v>81</v>
      </c>
      <c r="F32" s="51" t="s">
        <v>96</v>
      </c>
      <c r="G32" s="51" t="s">
        <v>97</v>
      </c>
      <c r="H32" s="51" t="s">
        <v>83</v>
      </c>
      <c r="I32" s="52" t="s">
        <v>91</v>
      </c>
      <c r="J32" s="189"/>
      <c r="K32" s="189"/>
      <c r="L32" s="190" t="str">
        <f>IF(Attacker_Threat_Zone[[#This Row],[Relevance]]="No"," ",MAX(Attacker_Threat_Zone[[#This Row],[Exposure]]+Attacker_Threat_Zone[[#This Row],[Vulnerability]]-1,1))</f>
        <v xml:space="preserve"> </v>
      </c>
      <c r="M32" s="189"/>
      <c r="N32" s="190">
        <f>IFERROR(VLOOKUP(Attacker_Threat_Zone[[#This Row],[Impact
C]],Impact_Mapping[],2,FALSE),0)</f>
        <v>0</v>
      </c>
      <c r="O32" s="189"/>
      <c r="P32" s="190">
        <f>IFERROR(VLOOKUP(Attacker_Threat_Zone[[#This Row],[Impact
I]],Impact_Mapping[],2,FALSE),0)</f>
        <v>0</v>
      </c>
      <c r="Q32" s="189"/>
      <c r="R32" s="190">
        <f>IFERROR(VLOOKUP(Attacker_Threat_Zone[[#This Row],[Impact
A]],Impact_Mapping[],2,FALSE),0)</f>
        <v>0</v>
      </c>
      <c r="S3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2" s="190" t="e" cm="1">
        <f t="array" ref="T32">INDEX(Risk!$C$4:$F$8,Attacker_Threat_Zone[[#This Row],[Likelihood]],VLOOKUP(Attacker_Threat_Zone[[#This Row],[Impact
C]],Impact_Mapping[],2,FALSE))</f>
        <v>#VALUE!</v>
      </c>
      <c r="U32" s="190" t="e" cm="1">
        <f t="array" ref="U32">INDEX(Risk!$C$4:$F$8,Attacker_Threat_Zone[[#This Row],[Likelihood]],VLOOKUP(Attacker_Threat_Zone[[#This Row],[Impact
I]],Impact_Mapping[],2,FALSE))</f>
        <v>#VALUE!</v>
      </c>
      <c r="V32" s="190" t="e" cm="1">
        <f t="array" ref="V32">INDEX(Risk!$C$4:$F$8,Attacker_Threat_Zone[[#This Row],[Likelihood]],VLOOKUP(Attacker_Threat_Zone[[#This Row],[Impact
A]],Impact_Mapping[],2,FALSE))</f>
        <v>#VALUE!</v>
      </c>
      <c r="W3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2" s="188" t="str">
        <f>IF(Attacker_Threat_Zone[[#This Row],[Relevance]]="No"," ",MAX(VLOOKUP(Attacker_Threat_Zone[[#This Row],[Risk
C]],SL_Mapping[],2,FALSE),0))</f>
        <v xml:space="preserve"> </v>
      </c>
      <c r="Y32" s="188" t="str">
        <f>IF(Attacker_Threat_Zone[[#This Row],[Relevance]]="No"," ",MAX(VLOOKUP(Attacker_Threat_Zone[[#This Row],[Risk
I]],SL_Mapping[],2,FALSE),0))</f>
        <v xml:space="preserve"> </v>
      </c>
      <c r="Z32" s="188" t="str">
        <f>IF(Attacker_Threat_Zone[[#This Row],[Relevance]]="No"," ",MAX(VLOOKUP(Attacker_Threat_Zone[[#This Row],[Risk
A]],SL_Mapping[],2,FALSE),0))</f>
        <v xml:space="preserve"> </v>
      </c>
      <c r="AA3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2" s="72"/>
    </row>
    <row r="33" spans="1:34">
      <c r="A33" s="47" t="s">
        <v>117</v>
      </c>
      <c r="B33" s="51" t="s">
        <v>9</v>
      </c>
      <c r="C33" s="51" t="s">
        <v>9</v>
      </c>
      <c r="D33" s="51" t="s">
        <v>9</v>
      </c>
      <c r="E33" s="51" t="s">
        <v>9</v>
      </c>
      <c r="F33" s="51" t="s">
        <v>9</v>
      </c>
      <c r="G33" s="51" t="s">
        <v>9</v>
      </c>
      <c r="H33" s="51" t="s">
        <v>9</v>
      </c>
      <c r="I33" s="52" t="s">
        <v>91</v>
      </c>
      <c r="J33" s="189"/>
      <c r="K33" s="189"/>
      <c r="L33" s="190" t="str">
        <f>IF(Attacker_Threat_Zone[[#This Row],[Relevance]]="No"," ",MAX(Attacker_Threat_Zone[[#This Row],[Exposure]]+Attacker_Threat_Zone[[#This Row],[Vulnerability]]-1,1))</f>
        <v xml:space="preserve"> </v>
      </c>
      <c r="M33" s="189"/>
      <c r="N33" s="190">
        <f>IFERROR(VLOOKUP(Attacker_Threat_Zone[[#This Row],[Impact
C]],Impact_Mapping[],2,FALSE),0)</f>
        <v>0</v>
      </c>
      <c r="O33" s="189"/>
      <c r="P33" s="190">
        <f>IFERROR(VLOOKUP(Attacker_Threat_Zone[[#This Row],[Impact
I]],Impact_Mapping[],2,FALSE),0)</f>
        <v>0</v>
      </c>
      <c r="Q33" s="189"/>
      <c r="R33" s="190">
        <f>IFERROR(VLOOKUP(Attacker_Threat_Zone[[#This Row],[Impact
A]],Impact_Mapping[],2,FALSE),0)</f>
        <v>0</v>
      </c>
      <c r="S3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3" s="190" t="e" cm="1">
        <f t="array" ref="T33">INDEX(Risk!$C$4:$F$8,Attacker_Threat_Zone[[#This Row],[Likelihood]],VLOOKUP(Attacker_Threat_Zone[[#This Row],[Impact
C]],Impact_Mapping[],2,FALSE))</f>
        <v>#VALUE!</v>
      </c>
      <c r="U33" s="190" t="e" cm="1">
        <f t="array" ref="U33">INDEX(Risk!$C$4:$F$8,Attacker_Threat_Zone[[#This Row],[Likelihood]],VLOOKUP(Attacker_Threat_Zone[[#This Row],[Impact
I]],Impact_Mapping[],2,FALSE))</f>
        <v>#VALUE!</v>
      </c>
      <c r="V33" s="190" t="e" cm="1">
        <f t="array" ref="V33">INDEX(Risk!$C$4:$F$8,Attacker_Threat_Zone[[#This Row],[Likelihood]],VLOOKUP(Attacker_Threat_Zone[[#This Row],[Impact
A]],Impact_Mapping[],2,FALSE))</f>
        <v>#VALUE!</v>
      </c>
      <c r="W3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3" s="188" t="str">
        <f>IF(Attacker_Threat_Zone[[#This Row],[Relevance]]="No"," ",MAX(VLOOKUP(Attacker_Threat_Zone[[#This Row],[Risk
C]],SL_Mapping[],2,FALSE),0))</f>
        <v xml:space="preserve"> </v>
      </c>
      <c r="Y33" s="188" t="str">
        <f>IF(Attacker_Threat_Zone[[#This Row],[Relevance]]="No"," ",MAX(VLOOKUP(Attacker_Threat_Zone[[#This Row],[Risk
I]],SL_Mapping[],2,FALSE),0))</f>
        <v xml:space="preserve"> </v>
      </c>
      <c r="Z33" s="188" t="str">
        <f>IF(Attacker_Threat_Zone[[#This Row],[Relevance]]="No"," ",MAX(VLOOKUP(Attacker_Threat_Zone[[#This Row],[Risk
A]],SL_Mapping[],2,FALSE),0))</f>
        <v xml:space="preserve"> </v>
      </c>
      <c r="AA3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3" s="72"/>
    </row>
    <row r="34" spans="1:34">
      <c r="A34" s="47" t="s">
        <v>118</v>
      </c>
      <c r="B34" s="51" t="s">
        <v>9</v>
      </c>
      <c r="C34" s="51" t="s">
        <v>9</v>
      </c>
      <c r="D34" s="51" t="s">
        <v>9</v>
      </c>
      <c r="E34" s="51" t="s">
        <v>9</v>
      </c>
      <c r="F34" s="51" t="s">
        <v>9</v>
      </c>
      <c r="G34" s="51" t="s">
        <v>9</v>
      </c>
      <c r="H34" s="51" t="s">
        <v>9</v>
      </c>
      <c r="I34" s="52" t="s">
        <v>91</v>
      </c>
      <c r="J34" s="189"/>
      <c r="K34" s="189"/>
      <c r="L34" s="190" t="str">
        <f>IF(Attacker_Threat_Zone[[#This Row],[Relevance]]="No"," ",MAX(Attacker_Threat_Zone[[#This Row],[Exposure]]+Attacker_Threat_Zone[[#This Row],[Vulnerability]]-1,1))</f>
        <v xml:space="preserve"> </v>
      </c>
      <c r="M34" s="189"/>
      <c r="N34" s="190">
        <f>IFERROR(VLOOKUP(Attacker_Threat_Zone[[#This Row],[Impact
C]],Impact_Mapping[],2,FALSE),0)</f>
        <v>0</v>
      </c>
      <c r="O34" s="189"/>
      <c r="P34" s="190">
        <f>IFERROR(VLOOKUP(Attacker_Threat_Zone[[#This Row],[Impact
I]],Impact_Mapping[],2,FALSE),0)</f>
        <v>0</v>
      </c>
      <c r="Q34" s="189"/>
      <c r="R34" s="190">
        <f>IFERROR(VLOOKUP(Attacker_Threat_Zone[[#This Row],[Impact
A]],Impact_Mapping[],2,FALSE),0)</f>
        <v>0</v>
      </c>
      <c r="S3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4" s="190" t="e" cm="1">
        <f t="array" ref="T34">INDEX(Risk!$C$4:$F$8,Attacker_Threat_Zone[[#This Row],[Likelihood]],VLOOKUP(Attacker_Threat_Zone[[#This Row],[Impact
C]],Impact_Mapping[],2,FALSE))</f>
        <v>#VALUE!</v>
      </c>
      <c r="U34" s="190" t="e" cm="1">
        <f t="array" ref="U34">INDEX(Risk!$C$4:$F$8,Attacker_Threat_Zone[[#This Row],[Likelihood]],VLOOKUP(Attacker_Threat_Zone[[#This Row],[Impact
I]],Impact_Mapping[],2,FALSE))</f>
        <v>#VALUE!</v>
      </c>
      <c r="V34" s="190" t="e" cm="1">
        <f t="array" ref="V34">INDEX(Risk!$C$4:$F$8,Attacker_Threat_Zone[[#This Row],[Likelihood]],VLOOKUP(Attacker_Threat_Zone[[#This Row],[Impact
A]],Impact_Mapping[],2,FALSE))</f>
        <v>#VALUE!</v>
      </c>
      <c r="W3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4" s="188" t="str">
        <f>IF(Attacker_Threat_Zone[[#This Row],[Relevance]]="No"," ",MAX(VLOOKUP(Attacker_Threat_Zone[[#This Row],[Risk
C]],SL_Mapping[],2,FALSE),0))</f>
        <v xml:space="preserve"> </v>
      </c>
      <c r="Y34" s="188" t="str">
        <f>IF(Attacker_Threat_Zone[[#This Row],[Relevance]]="No"," ",MAX(VLOOKUP(Attacker_Threat_Zone[[#This Row],[Risk
I]],SL_Mapping[],2,FALSE),0))</f>
        <v xml:space="preserve"> </v>
      </c>
      <c r="Z34" s="188" t="str">
        <f>IF(Attacker_Threat_Zone[[#This Row],[Relevance]]="No"," ",MAX(VLOOKUP(Attacker_Threat_Zone[[#This Row],[Risk
A]],SL_Mapping[],2,FALSE),0))</f>
        <v xml:space="preserve"> </v>
      </c>
      <c r="AA34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4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4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4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4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4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4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4" s="72"/>
    </row>
    <row r="35" spans="1:34">
      <c r="A35" s="47" t="s">
        <v>119</v>
      </c>
      <c r="B35" s="51" t="s">
        <v>96</v>
      </c>
      <c r="C35" s="51" t="s">
        <v>96</v>
      </c>
      <c r="D35" s="51" t="s">
        <v>94</v>
      </c>
      <c r="E35" s="51" t="s">
        <v>81</v>
      </c>
      <c r="F35" s="51" t="s">
        <v>96</v>
      </c>
      <c r="G35" s="51" t="s">
        <v>97</v>
      </c>
      <c r="H35" s="51" t="s">
        <v>83</v>
      </c>
      <c r="I35" s="52" t="s">
        <v>91</v>
      </c>
      <c r="J35" s="189"/>
      <c r="K35" s="189"/>
      <c r="L35" s="190" t="str">
        <f>IF(Attacker_Threat_Zone[[#This Row],[Relevance]]="No"," ",MAX(Attacker_Threat_Zone[[#This Row],[Exposure]]+Attacker_Threat_Zone[[#This Row],[Vulnerability]]-1,1))</f>
        <v xml:space="preserve"> </v>
      </c>
      <c r="M35" s="189"/>
      <c r="N35" s="190">
        <f>IFERROR(VLOOKUP(Attacker_Threat_Zone[[#This Row],[Impact
C]],Impact_Mapping[],2,FALSE),0)</f>
        <v>0</v>
      </c>
      <c r="O35" s="189"/>
      <c r="P35" s="190">
        <f>IFERROR(VLOOKUP(Attacker_Threat_Zone[[#This Row],[Impact
I]],Impact_Mapping[],2,FALSE),0)</f>
        <v>0</v>
      </c>
      <c r="Q35" s="189"/>
      <c r="R35" s="190">
        <f>IFERROR(VLOOKUP(Attacker_Threat_Zone[[#This Row],[Impact
A]],Impact_Mapping[],2,FALSE),0)</f>
        <v>0</v>
      </c>
      <c r="S35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5" s="190" t="e" cm="1">
        <f t="array" ref="T35">INDEX(Risk!$C$4:$F$8,Attacker_Threat_Zone[[#This Row],[Likelihood]],VLOOKUP(Attacker_Threat_Zone[[#This Row],[Impact
C]],Impact_Mapping[],2,FALSE))</f>
        <v>#VALUE!</v>
      </c>
      <c r="U35" s="190" t="e" cm="1">
        <f t="array" ref="U35">INDEX(Risk!$C$4:$F$8,Attacker_Threat_Zone[[#This Row],[Likelihood]],VLOOKUP(Attacker_Threat_Zone[[#This Row],[Impact
I]],Impact_Mapping[],2,FALSE))</f>
        <v>#VALUE!</v>
      </c>
      <c r="V35" s="190" t="e" cm="1">
        <f t="array" ref="V35">INDEX(Risk!$C$4:$F$8,Attacker_Threat_Zone[[#This Row],[Likelihood]],VLOOKUP(Attacker_Threat_Zone[[#This Row],[Impact
A]],Impact_Mapping[],2,FALSE))</f>
        <v>#VALUE!</v>
      </c>
      <c r="W35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5" s="188" t="str">
        <f>IF(Attacker_Threat_Zone[[#This Row],[Relevance]]="No"," ",MAX(VLOOKUP(Attacker_Threat_Zone[[#This Row],[Risk
C]],SL_Mapping[],2,FALSE),0))</f>
        <v xml:space="preserve"> </v>
      </c>
      <c r="Y35" s="188" t="str">
        <f>IF(Attacker_Threat_Zone[[#This Row],[Relevance]]="No"," ",MAX(VLOOKUP(Attacker_Threat_Zone[[#This Row],[Risk
I]],SL_Mapping[],2,FALSE),0))</f>
        <v xml:space="preserve"> </v>
      </c>
      <c r="Z35" s="188" t="str">
        <f>IF(Attacker_Threat_Zone[[#This Row],[Relevance]]="No"," ",MAX(VLOOKUP(Attacker_Threat_Zone[[#This Row],[Risk
A]],SL_Mapping[],2,FALSE),0))</f>
        <v xml:space="preserve"> </v>
      </c>
      <c r="AA35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5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5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5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5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5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5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5" s="72"/>
    </row>
    <row r="36" spans="1:34">
      <c r="A36" s="47" t="s">
        <v>120</v>
      </c>
      <c r="B36" s="51" t="s">
        <v>9</v>
      </c>
      <c r="C36" s="51" t="s">
        <v>9</v>
      </c>
      <c r="D36" s="51" t="s">
        <v>9</v>
      </c>
      <c r="E36" s="51" t="s">
        <v>9</v>
      </c>
      <c r="F36" s="51" t="s">
        <v>9</v>
      </c>
      <c r="G36" s="51" t="s">
        <v>9</v>
      </c>
      <c r="H36" s="51" t="s">
        <v>9</v>
      </c>
      <c r="I36" s="52" t="s">
        <v>91</v>
      </c>
      <c r="J36" s="189"/>
      <c r="K36" s="189"/>
      <c r="L36" s="190" t="str">
        <f>IF(Attacker_Threat_Zone[[#This Row],[Relevance]]="No"," ",MAX(Attacker_Threat_Zone[[#This Row],[Exposure]]+Attacker_Threat_Zone[[#This Row],[Vulnerability]]-1,1))</f>
        <v xml:space="preserve"> </v>
      </c>
      <c r="M36" s="189"/>
      <c r="N36" s="190">
        <f>IFERROR(VLOOKUP(Attacker_Threat_Zone[[#This Row],[Impact
C]],Impact_Mapping[],2,FALSE),0)</f>
        <v>0</v>
      </c>
      <c r="O36" s="189"/>
      <c r="P36" s="190">
        <f>IFERROR(VLOOKUP(Attacker_Threat_Zone[[#This Row],[Impact
I]],Impact_Mapping[],2,FALSE),0)</f>
        <v>0</v>
      </c>
      <c r="Q36" s="189"/>
      <c r="R36" s="190">
        <f>IFERROR(VLOOKUP(Attacker_Threat_Zone[[#This Row],[Impact
A]],Impact_Mapping[],2,FALSE),0)</f>
        <v>0</v>
      </c>
      <c r="S3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6" s="190" t="e" cm="1">
        <f t="array" ref="T36">INDEX(Risk!$C$4:$F$8,Attacker_Threat_Zone[[#This Row],[Likelihood]],VLOOKUP(Attacker_Threat_Zone[[#This Row],[Impact
C]],Impact_Mapping[],2,FALSE))</f>
        <v>#VALUE!</v>
      </c>
      <c r="U36" s="190" t="e" cm="1">
        <f t="array" ref="U36">INDEX(Risk!$C$4:$F$8,Attacker_Threat_Zone[[#This Row],[Likelihood]],VLOOKUP(Attacker_Threat_Zone[[#This Row],[Impact
I]],Impact_Mapping[],2,FALSE))</f>
        <v>#VALUE!</v>
      </c>
      <c r="V36" s="190" t="e" cm="1">
        <f t="array" ref="V36">INDEX(Risk!$C$4:$F$8,Attacker_Threat_Zone[[#This Row],[Likelihood]],VLOOKUP(Attacker_Threat_Zone[[#This Row],[Impact
A]],Impact_Mapping[],2,FALSE))</f>
        <v>#VALUE!</v>
      </c>
      <c r="W3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6" s="188" t="str">
        <f>IF(Attacker_Threat_Zone[[#This Row],[Relevance]]="No"," ",MAX(VLOOKUP(Attacker_Threat_Zone[[#This Row],[Risk
C]],SL_Mapping[],2,FALSE),0))</f>
        <v xml:space="preserve"> </v>
      </c>
      <c r="Y36" s="188" t="str">
        <f>IF(Attacker_Threat_Zone[[#This Row],[Relevance]]="No"," ",MAX(VLOOKUP(Attacker_Threat_Zone[[#This Row],[Risk
I]],SL_Mapping[],2,FALSE),0))</f>
        <v xml:space="preserve"> </v>
      </c>
      <c r="Z36" s="188" t="str">
        <f>IF(Attacker_Threat_Zone[[#This Row],[Relevance]]="No"," ",MAX(VLOOKUP(Attacker_Threat_Zone[[#This Row],[Risk
A]],SL_Mapping[],2,FALSE),0))</f>
        <v xml:space="preserve"> </v>
      </c>
      <c r="AA36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6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6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6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6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6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6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6" s="72"/>
    </row>
    <row r="37" spans="1:34">
      <c r="A37" s="47" t="s">
        <v>121</v>
      </c>
      <c r="B37" s="51" t="s">
        <v>96</v>
      </c>
      <c r="C37" s="51" t="s">
        <v>96</v>
      </c>
      <c r="D37" s="51" t="s">
        <v>94</v>
      </c>
      <c r="E37" s="51" t="s">
        <v>81</v>
      </c>
      <c r="F37" s="51" t="s">
        <v>96</v>
      </c>
      <c r="G37" s="51" t="s">
        <v>97</v>
      </c>
      <c r="H37" s="51" t="s">
        <v>83</v>
      </c>
      <c r="I37" s="52" t="s">
        <v>91</v>
      </c>
      <c r="J37" s="189"/>
      <c r="K37" s="189"/>
      <c r="L37" s="190" t="str">
        <f>IF(Attacker_Threat_Zone[[#This Row],[Relevance]]="No"," ",MAX(Attacker_Threat_Zone[[#This Row],[Exposure]]+Attacker_Threat_Zone[[#This Row],[Vulnerability]]-1,1))</f>
        <v xml:space="preserve"> </v>
      </c>
      <c r="M37" s="189"/>
      <c r="N37" s="190">
        <f>IFERROR(VLOOKUP(Attacker_Threat_Zone[[#This Row],[Impact
C]],Impact_Mapping[],2,FALSE),0)</f>
        <v>0</v>
      </c>
      <c r="O37" s="189"/>
      <c r="P37" s="190">
        <f>IFERROR(VLOOKUP(Attacker_Threat_Zone[[#This Row],[Impact
I]],Impact_Mapping[],2,FALSE),0)</f>
        <v>0</v>
      </c>
      <c r="Q37" s="189"/>
      <c r="R37" s="190">
        <f>IFERROR(VLOOKUP(Attacker_Threat_Zone[[#This Row],[Impact
A]],Impact_Mapping[],2,FALSE),0)</f>
        <v>0</v>
      </c>
      <c r="S3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7" s="190" t="e" cm="1">
        <f t="array" ref="T37">INDEX(Risk!$C$4:$F$8,Attacker_Threat_Zone[[#This Row],[Likelihood]],VLOOKUP(Attacker_Threat_Zone[[#This Row],[Impact
C]],Impact_Mapping[],2,FALSE))</f>
        <v>#VALUE!</v>
      </c>
      <c r="U37" s="190" t="e" cm="1">
        <f t="array" ref="U37">INDEX(Risk!$C$4:$F$8,Attacker_Threat_Zone[[#This Row],[Likelihood]],VLOOKUP(Attacker_Threat_Zone[[#This Row],[Impact
I]],Impact_Mapping[],2,FALSE))</f>
        <v>#VALUE!</v>
      </c>
      <c r="V37" s="190" t="e" cm="1">
        <f t="array" ref="V37">INDEX(Risk!$C$4:$F$8,Attacker_Threat_Zone[[#This Row],[Likelihood]],VLOOKUP(Attacker_Threat_Zone[[#This Row],[Impact
A]],Impact_Mapping[],2,FALSE))</f>
        <v>#VALUE!</v>
      </c>
      <c r="W3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7" s="188" t="str">
        <f>IF(Attacker_Threat_Zone[[#This Row],[Relevance]]="No"," ",MAX(VLOOKUP(Attacker_Threat_Zone[[#This Row],[Risk
C]],SL_Mapping[],2,FALSE),0))</f>
        <v xml:space="preserve"> </v>
      </c>
      <c r="Y37" s="188" t="str">
        <f>IF(Attacker_Threat_Zone[[#This Row],[Relevance]]="No"," ",MAX(VLOOKUP(Attacker_Threat_Zone[[#This Row],[Risk
I]],SL_Mapping[],2,FALSE),0))</f>
        <v xml:space="preserve"> </v>
      </c>
      <c r="Z37" s="188" t="str">
        <f>IF(Attacker_Threat_Zone[[#This Row],[Relevance]]="No"," ",MAX(VLOOKUP(Attacker_Threat_Zone[[#This Row],[Risk
A]],SL_Mapping[],2,FALSE),0))</f>
        <v xml:space="preserve"> </v>
      </c>
      <c r="AA3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7" s="72"/>
    </row>
    <row r="38" spans="1:34">
      <c r="A38" s="47" t="s">
        <v>122</v>
      </c>
      <c r="B38" s="51" t="s">
        <v>9</v>
      </c>
      <c r="C38" s="51" t="s">
        <v>9</v>
      </c>
      <c r="D38" s="51" t="s">
        <v>9</v>
      </c>
      <c r="E38" s="51" t="s">
        <v>9</v>
      </c>
      <c r="F38" s="51" t="s">
        <v>9</v>
      </c>
      <c r="G38" s="51" t="s">
        <v>97</v>
      </c>
      <c r="H38" s="51" t="s">
        <v>9</v>
      </c>
      <c r="I38" s="52" t="s">
        <v>91</v>
      </c>
      <c r="J38" s="189"/>
      <c r="K38" s="189"/>
      <c r="L38" s="190" t="str">
        <f>IF(Attacker_Threat_Zone[[#This Row],[Relevance]]="No"," ",MAX(Attacker_Threat_Zone[[#This Row],[Exposure]]+Attacker_Threat_Zone[[#This Row],[Vulnerability]]-1,1))</f>
        <v xml:space="preserve"> </v>
      </c>
      <c r="M38" s="189"/>
      <c r="N38" s="190">
        <f>IFERROR(VLOOKUP(Attacker_Threat_Zone[[#This Row],[Impact
C]],Impact_Mapping[],2,FALSE),0)</f>
        <v>0</v>
      </c>
      <c r="O38" s="189"/>
      <c r="P38" s="190">
        <f>IFERROR(VLOOKUP(Attacker_Threat_Zone[[#This Row],[Impact
I]],Impact_Mapping[],2,FALSE),0)</f>
        <v>0</v>
      </c>
      <c r="Q38" s="189"/>
      <c r="R38" s="190">
        <f>IFERROR(VLOOKUP(Attacker_Threat_Zone[[#This Row],[Impact
A]],Impact_Mapping[],2,FALSE),0)</f>
        <v>0</v>
      </c>
      <c r="S3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8" s="190" t="e" cm="1">
        <f t="array" ref="T38">INDEX(Risk!$C$4:$F$8,Attacker_Threat_Zone[[#This Row],[Likelihood]],VLOOKUP(Attacker_Threat_Zone[[#This Row],[Impact
C]],Impact_Mapping[],2,FALSE))</f>
        <v>#VALUE!</v>
      </c>
      <c r="U38" s="190" t="e" cm="1">
        <f t="array" ref="U38">INDEX(Risk!$C$4:$F$8,Attacker_Threat_Zone[[#This Row],[Likelihood]],VLOOKUP(Attacker_Threat_Zone[[#This Row],[Impact
I]],Impact_Mapping[],2,FALSE))</f>
        <v>#VALUE!</v>
      </c>
      <c r="V38" s="190" t="e" cm="1">
        <f t="array" ref="V38">INDEX(Risk!$C$4:$F$8,Attacker_Threat_Zone[[#This Row],[Likelihood]],VLOOKUP(Attacker_Threat_Zone[[#This Row],[Impact
A]],Impact_Mapping[],2,FALSE))</f>
        <v>#VALUE!</v>
      </c>
      <c r="W3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8" s="188" t="str">
        <f>IF(Attacker_Threat_Zone[[#This Row],[Relevance]]="No"," ",MAX(VLOOKUP(Attacker_Threat_Zone[[#This Row],[Risk
C]],SL_Mapping[],2,FALSE),0))</f>
        <v xml:space="preserve"> </v>
      </c>
      <c r="Y38" s="188" t="str">
        <f>IF(Attacker_Threat_Zone[[#This Row],[Relevance]]="No"," ",MAX(VLOOKUP(Attacker_Threat_Zone[[#This Row],[Risk
I]],SL_Mapping[],2,FALSE),0))</f>
        <v xml:space="preserve"> </v>
      </c>
      <c r="Z38" s="188" t="str">
        <f>IF(Attacker_Threat_Zone[[#This Row],[Relevance]]="No"," ",MAX(VLOOKUP(Attacker_Threat_Zone[[#This Row],[Risk
A]],SL_Mapping[],2,FALSE),0))</f>
        <v xml:space="preserve"> </v>
      </c>
      <c r="AA3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8" s="72"/>
    </row>
    <row r="39" spans="1:34">
      <c r="A39" s="47" t="s">
        <v>123</v>
      </c>
      <c r="B39" s="51" t="s">
        <v>9</v>
      </c>
      <c r="C39" s="51" t="s">
        <v>9</v>
      </c>
      <c r="D39" s="51" t="s">
        <v>9</v>
      </c>
      <c r="E39" s="51" t="s">
        <v>9</v>
      </c>
      <c r="F39" s="51" t="s">
        <v>9</v>
      </c>
      <c r="G39" s="51" t="s">
        <v>9</v>
      </c>
      <c r="H39" s="51" t="s">
        <v>9</v>
      </c>
      <c r="I39" s="52" t="s">
        <v>91</v>
      </c>
      <c r="J39" s="189"/>
      <c r="K39" s="189"/>
      <c r="L39" s="190" t="str">
        <f>IF(Attacker_Threat_Zone[[#This Row],[Relevance]]="No"," ",MAX(Attacker_Threat_Zone[[#This Row],[Exposure]]+Attacker_Threat_Zone[[#This Row],[Vulnerability]]-1,1))</f>
        <v xml:space="preserve"> </v>
      </c>
      <c r="M39" s="189"/>
      <c r="N39" s="190">
        <f>IFERROR(VLOOKUP(Attacker_Threat_Zone[[#This Row],[Impact
C]],Impact_Mapping[],2,FALSE),0)</f>
        <v>0</v>
      </c>
      <c r="O39" s="189"/>
      <c r="P39" s="190">
        <f>IFERROR(VLOOKUP(Attacker_Threat_Zone[[#This Row],[Impact
I]],Impact_Mapping[],2,FALSE),0)</f>
        <v>0</v>
      </c>
      <c r="Q39" s="189"/>
      <c r="R39" s="190">
        <f>IFERROR(VLOOKUP(Attacker_Threat_Zone[[#This Row],[Impact
A]],Impact_Mapping[],2,FALSE),0)</f>
        <v>0</v>
      </c>
      <c r="S3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39" s="190" t="e" cm="1">
        <f t="array" ref="T39">INDEX(Risk!$C$4:$F$8,Attacker_Threat_Zone[[#This Row],[Likelihood]],VLOOKUP(Attacker_Threat_Zone[[#This Row],[Impact
C]],Impact_Mapping[],2,FALSE))</f>
        <v>#VALUE!</v>
      </c>
      <c r="U39" s="190" t="e" cm="1">
        <f t="array" ref="U39">INDEX(Risk!$C$4:$F$8,Attacker_Threat_Zone[[#This Row],[Likelihood]],VLOOKUP(Attacker_Threat_Zone[[#This Row],[Impact
I]],Impact_Mapping[],2,FALSE))</f>
        <v>#VALUE!</v>
      </c>
      <c r="V39" s="190" t="e" cm="1">
        <f t="array" ref="V39">INDEX(Risk!$C$4:$F$8,Attacker_Threat_Zone[[#This Row],[Likelihood]],VLOOKUP(Attacker_Threat_Zone[[#This Row],[Impact
A]],Impact_Mapping[],2,FALSE))</f>
        <v>#VALUE!</v>
      </c>
      <c r="W3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39" s="188" t="str">
        <f>IF(Attacker_Threat_Zone[[#This Row],[Relevance]]="No"," ",MAX(VLOOKUP(Attacker_Threat_Zone[[#This Row],[Risk
C]],SL_Mapping[],2,FALSE),0))</f>
        <v xml:space="preserve"> </v>
      </c>
      <c r="Y39" s="188" t="str">
        <f>IF(Attacker_Threat_Zone[[#This Row],[Relevance]]="No"," ",MAX(VLOOKUP(Attacker_Threat_Zone[[#This Row],[Risk
I]],SL_Mapping[],2,FALSE),0))</f>
        <v xml:space="preserve"> </v>
      </c>
      <c r="Z39" s="188" t="str">
        <f>IF(Attacker_Threat_Zone[[#This Row],[Relevance]]="No"," ",MAX(VLOOKUP(Attacker_Threat_Zone[[#This Row],[Risk
A]],SL_Mapping[],2,FALSE),0))</f>
        <v xml:space="preserve"> </v>
      </c>
      <c r="AA3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3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3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3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3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3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3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39" s="72"/>
    </row>
    <row r="40" spans="1:34">
      <c r="A40" s="47" t="s">
        <v>124</v>
      </c>
      <c r="B40" s="51" t="s">
        <v>9</v>
      </c>
      <c r="C40" s="51" t="s">
        <v>9</v>
      </c>
      <c r="D40" s="51" t="s">
        <v>9</v>
      </c>
      <c r="E40" s="51" t="s">
        <v>9</v>
      </c>
      <c r="F40" s="51" t="s">
        <v>9</v>
      </c>
      <c r="G40" s="51" t="s">
        <v>9</v>
      </c>
      <c r="H40" s="51" t="s">
        <v>9</v>
      </c>
      <c r="I40" s="52" t="s">
        <v>91</v>
      </c>
      <c r="J40" s="189"/>
      <c r="K40" s="189"/>
      <c r="L40" s="190" t="str">
        <f>IF(Attacker_Threat_Zone[[#This Row],[Relevance]]="No"," ",MAX(Attacker_Threat_Zone[[#This Row],[Exposure]]+Attacker_Threat_Zone[[#This Row],[Vulnerability]]-1,1))</f>
        <v xml:space="preserve"> </v>
      </c>
      <c r="M40" s="189"/>
      <c r="N40" s="190">
        <f>IFERROR(VLOOKUP(Attacker_Threat_Zone[[#This Row],[Impact
C]],Impact_Mapping[],2,FALSE),0)</f>
        <v>0</v>
      </c>
      <c r="O40" s="189"/>
      <c r="P40" s="190">
        <f>IFERROR(VLOOKUP(Attacker_Threat_Zone[[#This Row],[Impact
I]],Impact_Mapping[],2,FALSE),0)</f>
        <v>0</v>
      </c>
      <c r="Q40" s="189"/>
      <c r="R40" s="190">
        <f>IFERROR(VLOOKUP(Attacker_Threat_Zone[[#This Row],[Impact
A]],Impact_Mapping[],2,FALSE),0)</f>
        <v>0</v>
      </c>
      <c r="S40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0" s="190" t="e" cm="1">
        <f t="array" ref="T40">INDEX(Risk!$C$4:$F$8,Attacker_Threat_Zone[[#This Row],[Likelihood]],VLOOKUP(Attacker_Threat_Zone[[#This Row],[Impact
C]],Impact_Mapping[],2,FALSE))</f>
        <v>#VALUE!</v>
      </c>
      <c r="U40" s="190" t="e" cm="1">
        <f t="array" ref="U40">INDEX(Risk!$C$4:$F$8,Attacker_Threat_Zone[[#This Row],[Likelihood]],VLOOKUP(Attacker_Threat_Zone[[#This Row],[Impact
I]],Impact_Mapping[],2,FALSE))</f>
        <v>#VALUE!</v>
      </c>
      <c r="V40" s="190" t="e" cm="1">
        <f t="array" ref="V40">INDEX(Risk!$C$4:$F$8,Attacker_Threat_Zone[[#This Row],[Likelihood]],VLOOKUP(Attacker_Threat_Zone[[#This Row],[Impact
A]],Impact_Mapping[],2,FALSE))</f>
        <v>#VALUE!</v>
      </c>
      <c r="W40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0" s="188" t="str">
        <f>IF(Attacker_Threat_Zone[[#This Row],[Relevance]]="No"," ",MAX(VLOOKUP(Attacker_Threat_Zone[[#This Row],[Risk
C]],SL_Mapping[],2,FALSE),0))</f>
        <v xml:space="preserve"> </v>
      </c>
      <c r="Y40" s="188" t="str">
        <f>IF(Attacker_Threat_Zone[[#This Row],[Relevance]]="No"," ",MAX(VLOOKUP(Attacker_Threat_Zone[[#This Row],[Risk
I]],SL_Mapping[],2,FALSE),0))</f>
        <v xml:space="preserve"> </v>
      </c>
      <c r="Z40" s="188" t="str">
        <f>IF(Attacker_Threat_Zone[[#This Row],[Relevance]]="No"," ",MAX(VLOOKUP(Attacker_Threat_Zone[[#This Row],[Risk
A]],SL_Mapping[],2,FALSE),0))</f>
        <v xml:space="preserve"> </v>
      </c>
      <c r="AA4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0" s="72"/>
    </row>
    <row r="41" spans="1:34">
      <c r="A41" s="47" t="s">
        <v>125</v>
      </c>
      <c r="B41" s="51" t="s">
        <v>9</v>
      </c>
      <c r="C41" s="51" t="s">
        <v>9</v>
      </c>
      <c r="D41" s="51" t="s">
        <v>9</v>
      </c>
      <c r="E41" s="51" t="s">
        <v>9</v>
      </c>
      <c r="F41" s="51" t="s">
        <v>9</v>
      </c>
      <c r="G41" s="51" t="s">
        <v>9</v>
      </c>
      <c r="H41" s="51" t="s">
        <v>9</v>
      </c>
      <c r="I41" s="52" t="s">
        <v>91</v>
      </c>
      <c r="J41" s="189"/>
      <c r="K41" s="189"/>
      <c r="L41" s="190" t="str">
        <f>IF(Attacker_Threat_Zone[[#This Row],[Relevance]]="No"," ",MAX(Attacker_Threat_Zone[[#This Row],[Exposure]]+Attacker_Threat_Zone[[#This Row],[Vulnerability]]-1,1))</f>
        <v xml:space="preserve"> </v>
      </c>
      <c r="M41" s="189"/>
      <c r="N41" s="190">
        <f>IFERROR(VLOOKUP(Attacker_Threat_Zone[[#This Row],[Impact
C]],Impact_Mapping[],2,FALSE),0)</f>
        <v>0</v>
      </c>
      <c r="O41" s="189"/>
      <c r="P41" s="190">
        <f>IFERROR(VLOOKUP(Attacker_Threat_Zone[[#This Row],[Impact
I]],Impact_Mapping[],2,FALSE),0)</f>
        <v>0</v>
      </c>
      <c r="Q41" s="189"/>
      <c r="R41" s="190">
        <f>IFERROR(VLOOKUP(Attacker_Threat_Zone[[#This Row],[Impact
A]],Impact_Mapping[],2,FALSE),0)</f>
        <v>0</v>
      </c>
      <c r="S4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1" s="190" t="e" cm="1">
        <f t="array" ref="T41">INDEX(Risk!$C$4:$F$8,Attacker_Threat_Zone[[#This Row],[Likelihood]],VLOOKUP(Attacker_Threat_Zone[[#This Row],[Impact
C]],Impact_Mapping[],2,FALSE))</f>
        <v>#VALUE!</v>
      </c>
      <c r="U41" s="190" t="e" cm="1">
        <f t="array" ref="U41">INDEX(Risk!$C$4:$F$8,Attacker_Threat_Zone[[#This Row],[Likelihood]],VLOOKUP(Attacker_Threat_Zone[[#This Row],[Impact
I]],Impact_Mapping[],2,FALSE))</f>
        <v>#VALUE!</v>
      </c>
      <c r="V41" s="190" t="e" cm="1">
        <f t="array" ref="V41">INDEX(Risk!$C$4:$F$8,Attacker_Threat_Zone[[#This Row],[Likelihood]],VLOOKUP(Attacker_Threat_Zone[[#This Row],[Impact
A]],Impact_Mapping[],2,FALSE))</f>
        <v>#VALUE!</v>
      </c>
      <c r="W4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1" s="188" t="str">
        <f>IF(Attacker_Threat_Zone[[#This Row],[Relevance]]="No"," ",MAX(VLOOKUP(Attacker_Threat_Zone[[#This Row],[Risk
C]],SL_Mapping[],2,FALSE),0))</f>
        <v xml:space="preserve"> </v>
      </c>
      <c r="Y41" s="188" t="str">
        <f>IF(Attacker_Threat_Zone[[#This Row],[Relevance]]="No"," ",MAX(VLOOKUP(Attacker_Threat_Zone[[#This Row],[Risk
I]],SL_Mapping[],2,FALSE),0))</f>
        <v xml:space="preserve"> </v>
      </c>
      <c r="Z41" s="188" t="str">
        <f>IF(Attacker_Threat_Zone[[#This Row],[Relevance]]="No"," ",MAX(VLOOKUP(Attacker_Threat_Zone[[#This Row],[Risk
A]],SL_Mapping[],2,FALSE),0))</f>
        <v xml:space="preserve"> </v>
      </c>
      <c r="AA41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1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1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1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1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1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1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1" s="72"/>
    </row>
    <row r="42" spans="1:34">
      <c r="A42" s="47" t="s">
        <v>126</v>
      </c>
      <c r="B42" s="51" t="s">
        <v>96</v>
      </c>
      <c r="C42" s="51" t="s">
        <v>96</v>
      </c>
      <c r="D42" s="51" t="s">
        <v>94</v>
      </c>
      <c r="E42" s="51" t="s">
        <v>81</v>
      </c>
      <c r="F42" s="51" t="s">
        <v>9</v>
      </c>
      <c r="G42" s="51" t="s">
        <v>9</v>
      </c>
      <c r="H42" s="51" t="s">
        <v>9</v>
      </c>
      <c r="I42" s="52" t="s">
        <v>91</v>
      </c>
      <c r="J42" s="189"/>
      <c r="K42" s="189"/>
      <c r="L42" s="190" t="str">
        <f>IF(Attacker_Threat_Zone[[#This Row],[Relevance]]="No"," ",MAX(Attacker_Threat_Zone[[#This Row],[Exposure]]+Attacker_Threat_Zone[[#This Row],[Vulnerability]]-1,1))</f>
        <v xml:space="preserve"> </v>
      </c>
      <c r="M42" s="189"/>
      <c r="N42" s="190">
        <f>IFERROR(VLOOKUP(Attacker_Threat_Zone[[#This Row],[Impact
C]],Impact_Mapping[],2,FALSE),0)</f>
        <v>0</v>
      </c>
      <c r="O42" s="189"/>
      <c r="P42" s="190">
        <f>IFERROR(VLOOKUP(Attacker_Threat_Zone[[#This Row],[Impact
I]],Impact_Mapping[],2,FALSE),0)</f>
        <v>0</v>
      </c>
      <c r="Q42" s="189"/>
      <c r="R42" s="190">
        <f>IFERROR(VLOOKUP(Attacker_Threat_Zone[[#This Row],[Impact
A]],Impact_Mapping[],2,FALSE),0)</f>
        <v>0</v>
      </c>
      <c r="S4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2" s="190" t="e" cm="1">
        <f t="array" ref="T42">INDEX(Risk!$C$4:$F$8,Attacker_Threat_Zone[[#This Row],[Likelihood]],VLOOKUP(Attacker_Threat_Zone[[#This Row],[Impact
C]],Impact_Mapping[],2,FALSE))</f>
        <v>#VALUE!</v>
      </c>
      <c r="U42" s="190" t="e" cm="1">
        <f t="array" ref="U42">INDEX(Risk!$C$4:$F$8,Attacker_Threat_Zone[[#This Row],[Likelihood]],VLOOKUP(Attacker_Threat_Zone[[#This Row],[Impact
I]],Impact_Mapping[],2,FALSE))</f>
        <v>#VALUE!</v>
      </c>
      <c r="V42" s="190" t="e" cm="1">
        <f t="array" ref="V42">INDEX(Risk!$C$4:$F$8,Attacker_Threat_Zone[[#This Row],[Likelihood]],VLOOKUP(Attacker_Threat_Zone[[#This Row],[Impact
A]],Impact_Mapping[],2,FALSE))</f>
        <v>#VALUE!</v>
      </c>
      <c r="W4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2" s="188" t="str">
        <f>IF(Attacker_Threat_Zone[[#This Row],[Relevance]]="No"," ",MAX(VLOOKUP(Attacker_Threat_Zone[[#This Row],[Risk
C]],SL_Mapping[],2,FALSE),0))</f>
        <v xml:space="preserve"> </v>
      </c>
      <c r="Y42" s="188" t="str">
        <f>IF(Attacker_Threat_Zone[[#This Row],[Relevance]]="No"," ",MAX(VLOOKUP(Attacker_Threat_Zone[[#This Row],[Risk
I]],SL_Mapping[],2,FALSE),0))</f>
        <v xml:space="preserve"> </v>
      </c>
      <c r="Z42" s="188" t="str">
        <f>IF(Attacker_Threat_Zone[[#This Row],[Relevance]]="No"," ",MAX(VLOOKUP(Attacker_Threat_Zone[[#This Row],[Risk
A]],SL_Mapping[],2,FALSE),0))</f>
        <v xml:space="preserve"> </v>
      </c>
      <c r="AA4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2" s="72"/>
    </row>
    <row r="43" spans="1:34">
      <c r="A43" s="47" t="s">
        <v>127</v>
      </c>
      <c r="B43" s="51" t="s">
        <v>96</v>
      </c>
      <c r="C43" s="51" t="s">
        <v>96</v>
      </c>
      <c r="D43" s="51" t="s">
        <v>94</v>
      </c>
      <c r="E43" s="51" t="s">
        <v>81</v>
      </c>
      <c r="F43" s="51" t="s">
        <v>96</v>
      </c>
      <c r="G43" s="51" t="s">
        <v>97</v>
      </c>
      <c r="H43" s="51" t="s">
        <v>83</v>
      </c>
      <c r="I43" s="52" t="s">
        <v>91</v>
      </c>
      <c r="J43" s="189"/>
      <c r="K43" s="189"/>
      <c r="L43" s="190" t="str">
        <f>IF(Attacker_Threat_Zone[[#This Row],[Relevance]]="No"," ",MAX(Attacker_Threat_Zone[[#This Row],[Exposure]]+Attacker_Threat_Zone[[#This Row],[Vulnerability]]-1,1))</f>
        <v xml:space="preserve"> </v>
      </c>
      <c r="M43" s="189"/>
      <c r="N43" s="190">
        <f>IFERROR(VLOOKUP(Attacker_Threat_Zone[[#This Row],[Impact
C]],Impact_Mapping[],2,FALSE),0)</f>
        <v>0</v>
      </c>
      <c r="O43" s="189"/>
      <c r="P43" s="190">
        <f>IFERROR(VLOOKUP(Attacker_Threat_Zone[[#This Row],[Impact
I]],Impact_Mapping[],2,FALSE),0)</f>
        <v>0</v>
      </c>
      <c r="Q43" s="189"/>
      <c r="R43" s="190">
        <f>IFERROR(VLOOKUP(Attacker_Threat_Zone[[#This Row],[Impact
A]],Impact_Mapping[],2,FALSE),0)</f>
        <v>0</v>
      </c>
      <c r="S4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3" s="190" t="e" cm="1">
        <f t="array" ref="T43">INDEX(Risk!$C$4:$F$8,Attacker_Threat_Zone[[#This Row],[Likelihood]],VLOOKUP(Attacker_Threat_Zone[[#This Row],[Impact
C]],Impact_Mapping[],2,FALSE))</f>
        <v>#VALUE!</v>
      </c>
      <c r="U43" s="190" t="e" cm="1">
        <f t="array" ref="U43">INDEX(Risk!$C$4:$F$8,Attacker_Threat_Zone[[#This Row],[Likelihood]],VLOOKUP(Attacker_Threat_Zone[[#This Row],[Impact
I]],Impact_Mapping[],2,FALSE))</f>
        <v>#VALUE!</v>
      </c>
      <c r="V43" s="190" t="e" cm="1">
        <f t="array" ref="V43">INDEX(Risk!$C$4:$F$8,Attacker_Threat_Zone[[#This Row],[Likelihood]],VLOOKUP(Attacker_Threat_Zone[[#This Row],[Impact
A]],Impact_Mapping[],2,FALSE))</f>
        <v>#VALUE!</v>
      </c>
      <c r="W4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3" s="188" t="str">
        <f>IF(Attacker_Threat_Zone[[#This Row],[Relevance]]="No"," ",MAX(VLOOKUP(Attacker_Threat_Zone[[#This Row],[Risk
C]],SL_Mapping[],2,FALSE),0))</f>
        <v xml:space="preserve"> </v>
      </c>
      <c r="Y43" s="188" t="str">
        <f>IF(Attacker_Threat_Zone[[#This Row],[Relevance]]="No"," ",MAX(VLOOKUP(Attacker_Threat_Zone[[#This Row],[Risk
I]],SL_Mapping[],2,FALSE),0))</f>
        <v xml:space="preserve"> </v>
      </c>
      <c r="Z43" s="188" t="str">
        <f>IF(Attacker_Threat_Zone[[#This Row],[Relevance]]="No"," ",MAX(VLOOKUP(Attacker_Threat_Zone[[#This Row],[Risk
A]],SL_Mapping[],2,FALSE),0))</f>
        <v xml:space="preserve"> </v>
      </c>
      <c r="AA4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3" s="72"/>
    </row>
    <row r="44" spans="1:34">
      <c r="A44" s="47" t="s">
        <v>128</v>
      </c>
      <c r="B44" s="51" t="s">
        <v>9</v>
      </c>
      <c r="C44" s="51" t="s">
        <v>9</v>
      </c>
      <c r="D44" s="51" t="s">
        <v>9</v>
      </c>
      <c r="E44" s="51" t="s">
        <v>9</v>
      </c>
      <c r="F44" s="51" t="s">
        <v>96</v>
      </c>
      <c r="G44" s="51" t="s">
        <v>97</v>
      </c>
      <c r="H44" s="51" t="s">
        <v>83</v>
      </c>
      <c r="I44" s="52" t="s">
        <v>91</v>
      </c>
      <c r="J44" s="189"/>
      <c r="K44" s="189"/>
      <c r="L44" s="190" t="str">
        <f>IF(Attacker_Threat_Zone[[#This Row],[Relevance]]="No"," ",MAX(Attacker_Threat_Zone[[#This Row],[Exposure]]+Attacker_Threat_Zone[[#This Row],[Vulnerability]]-1,1))</f>
        <v xml:space="preserve"> </v>
      </c>
      <c r="M44" s="189"/>
      <c r="N44" s="190">
        <f>IFERROR(VLOOKUP(Attacker_Threat_Zone[[#This Row],[Impact
C]],Impact_Mapping[],2,FALSE),0)</f>
        <v>0</v>
      </c>
      <c r="O44" s="189"/>
      <c r="P44" s="190">
        <f>IFERROR(VLOOKUP(Attacker_Threat_Zone[[#This Row],[Impact
I]],Impact_Mapping[],2,FALSE),0)</f>
        <v>0</v>
      </c>
      <c r="Q44" s="189"/>
      <c r="R44" s="190">
        <f>IFERROR(VLOOKUP(Attacker_Threat_Zone[[#This Row],[Impact
A]],Impact_Mapping[],2,FALSE),0)</f>
        <v>0</v>
      </c>
      <c r="S4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4" s="190" t="e" cm="1">
        <f t="array" ref="T44">INDEX(Risk!$C$4:$F$8,Attacker_Threat_Zone[[#This Row],[Likelihood]],VLOOKUP(Attacker_Threat_Zone[[#This Row],[Impact
C]],Impact_Mapping[],2,FALSE))</f>
        <v>#VALUE!</v>
      </c>
      <c r="U44" s="190" t="e" cm="1">
        <f t="array" ref="U44">INDEX(Risk!$C$4:$F$8,Attacker_Threat_Zone[[#This Row],[Likelihood]],VLOOKUP(Attacker_Threat_Zone[[#This Row],[Impact
I]],Impact_Mapping[],2,FALSE))</f>
        <v>#VALUE!</v>
      </c>
      <c r="V44" s="190" t="e" cm="1">
        <f t="array" ref="V44">INDEX(Risk!$C$4:$F$8,Attacker_Threat_Zone[[#This Row],[Likelihood]],VLOOKUP(Attacker_Threat_Zone[[#This Row],[Impact
A]],Impact_Mapping[],2,FALSE))</f>
        <v>#VALUE!</v>
      </c>
      <c r="W4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4" s="188" t="str">
        <f>IF(Attacker_Threat_Zone[[#This Row],[Relevance]]="No"," ",MAX(VLOOKUP(Attacker_Threat_Zone[[#This Row],[Risk
C]],SL_Mapping[],2,FALSE),0))</f>
        <v xml:space="preserve"> </v>
      </c>
      <c r="Y44" s="188" t="str">
        <f>IF(Attacker_Threat_Zone[[#This Row],[Relevance]]="No"," ",MAX(VLOOKUP(Attacker_Threat_Zone[[#This Row],[Risk
I]],SL_Mapping[],2,FALSE),0))</f>
        <v xml:space="preserve"> </v>
      </c>
      <c r="Z44" s="188" t="str">
        <f>IF(Attacker_Threat_Zone[[#This Row],[Relevance]]="No"," ",MAX(VLOOKUP(Attacker_Threat_Zone[[#This Row],[Risk
A]],SL_Mapping[],2,FALSE),0))</f>
        <v xml:space="preserve"> </v>
      </c>
      <c r="AA44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4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4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4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4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4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4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4" s="72"/>
    </row>
    <row r="45" spans="1:34">
      <c r="A45" s="47" t="s">
        <v>129</v>
      </c>
      <c r="B45" s="51" t="s">
        <v>96</v>
      </c>
      <c r="C45" s="51" t="s">
        <v>96</v>
      </c>
      <c r="D45" s="51" t="s">
        <v>9</v>
      </c>
      <c r="E45" s="51" t="s">
        <v>9</v>
      </c>
      <c r="F45" s="51" t="s">
        <v>9</v>
      </c>
      <c r="G45" s="51" t="s">
        <v>9</v>
      </c>
      <c r="H45" s="51" t="s">
        <v>9</v>
      </c>
      <c r="I45" s="52" t="s">
        <v>91</v>
      </c>
      <c r="J45" s="189"/>
      <c r="K45" s="189"/>
      <c r="L45" s="190" t="str">
        <f>IF(Attacker_Threat_Zone[[#This Row],[Relevance]]="No"," ",MAX(Attacker_Threat_Zone[[#This Row],[Exposure]]+Attacker_Threat_Zone[[#This Row],[Vulnerability]]-1,1))</f>
        <v xml:space="preserve"> </v>
      </c>
      <c r="M45" s="189"/>
      <c r="N45" s="190">
        <f>IFERROR(VLOOKUP(Attacker_Threat_Zone[[#This Row],[Impact
C]],Impact_Mapping[],2,FALSE),0)</f>
        <v>0</v>
      </c>
      <c r="O45" s="189"/>
      <c r="P45" s="190">
        <f>IFERROR(VLOOKUP(Attacker_Threat_Zone[[#This Row],[Impact
I]],Impact_Mapping[],2,FALSE),0)</f>
        <v>0</v>
      </c>
      <c r="Q45" s="189"/>
      <c r="R45" s="190">
        <f>IFERROR(VLOOKUP(Attacker_Threat_Zone[[#This Row],[Impact
A]],Impact_Mapping[],2,FALSE),0)</f>
        <v>0</v>
      </c>
      <c r="S45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5" s="190" t="e" cm="1">
        <f t="array" ref="T45">INDEX(Risk!$C$4:$F$8,Attacker_Threat_Zone[[#This Row],[Likelihood]],VLOOKUP(Attacker_Threat_Zone[[#This Row],[Impact
C]],Impact_Mapping[],2,FALSE))</f>
        <v>#VALUE!</v>
      </c>
      <c r="U45" s="190" t="e" cm="1">
        <f t="array" ref="U45">INDEX(Risk!$C$4:$F$8,Attacker_Threat_Zone[[#This Row],[Likelihood]],VLOOKUP(Attacker_Threat_Zone[[#This Row],[Impact
I]],Impact_Mapping[],2,FALSE))</f>
        <v>#VALUE!</v>
      </c>
      <c r="V45" s="190" t="e" cm="1">
        <f t="array" ref="V45">INDEX(Risk!$C$4:$F$8,Attacker_Threat_Zone[[#This Row],[Likelihood]],VLOOKUP(Attacker_Threat_Zone[[#This Row],[Impact
A]],Impact_Mapping[],2,FALSE))</f>
        <v>#VALUE!</v>
      </c>
      <c r="W45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5" s="188" t="str">
        <f>IF(Attacker_Threat_Zone[[#This Row],[Relevance]]="No"," ",MAX(VLOOKUP(Attacker_Threat_Zone[[#This Row],[Risk
C]],SL_Mapping[],2,FALSE),0))</f>
        <v xml:space="preserve"> </v>
      </c>
      <c r="Y45" s="188" t="str">
        <f>IF(Attacker_Threat_Zone[[#This Row],[Relevance]]="No"," ",MAX(VLOOKUP(Attacker_Threat_Zone[[#This Row],[Risk
I]],SL_Mapping[],2,FALSE),0))</f>
        <v xml:space="preserve"> </v>
      </c>
      <c r="Z45" s="188" t="str">
        <f>IF(Attacker_Threat_Zone[[#This Row],[Relevance]]="No"," ",MAX(VLOOKUP(Attacker_Threat_Zone[[#This Row],[Risk
A]],SL_Mapping[],2,FALSE),0))</f>
        <v xml:space="preserve"> </v>
      </c>
      <c r="AA45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5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5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5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5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5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5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5" s="72"/>
    </row>
    <row r="46" spans="1:34">
      <c r="A46" s="47" t="s">
        <v>130</v>
      </c>
      <c r="B46" s="51" t="s">
        <v>9</v>
      </c>
      <c r="C46" s="51" t="s">
        <v>9</v>
      </c>
      <c r="D46" s="51" t="s">
        <v>9</v>
      </c>
      <c r="E46" s="51" t="s">
        <v>9</v>
      </c>
      <c r="F46" s="51" t="s">
        <v>9</v>
      </c>
      <c r="G46" s="51" t="s">
        <v>97</v>
      </c>
      <c r="H46" s="51" t="s">
        <v>9</v>
      </c>
      <c r="I46" s="52" t="s">
        <v>91</v>
      </c>
      <c r="J46" s="189"/>
      <c r="K46" s="189"/>
      <c r="L46" s="190" t="str">
        <f>IF(Attacker_Threat_Zone[[#This Row],[Relevance]]="No"," ",MAX(Attacker_Threat_Zone[[#This Row],[Exposure]]+Attacker_Threat_Zone[[#This Row],[Vulnerability]]-1,1))</f>
        <v xml:space="preserve"> </v>
      </c>
      <c r="M46" s="189"/>
      <c r="N46" s="190">
        <f>IFERROR(VLOOKUP(Attacker_Threat_Zone[[#This Row],[Impact
C]],Impact_Mapping[],2,FALSE),0)</f>
        <v>0</v>
      </c>
      <c r="O46" s="189"/>
      <c r="P46" s="190">
        <f>IFERROR(VLOOKUP(Attacker_Threat_Zone[[#This Row],[Impact
I]],Impact_Mapping[],2,FALSE),0)</f>
        <v>0</v>
      </c>
      <c r="Q46" s="189"/>
      <c r="R46" s="190">
        <f>IFERROR(VLOOKUP(Attacker_Threat_Zone[[#This Row],[Impact
A]],Impact_Mapping[],2,FALSE),0)</f>
        <v>0</v>
      </c>
      <c r="S4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6" s="190" t="e" cm="1">
        <f t="array" ref="T46">INDEX(Risk!$C$4:$F$8,Attacker_Threat_Zone[[#This Row],[Likelihood]],VLOOKUP(Attacker_Threat_Zone[[#This Row],[Impact
C]],Impact_Mapping[],2,FALSE))</f>
        <v>#VALUE!</v>
      </c>
      <c r="U46" s="190" t="e" cm="1">
        <f t="array" ref="U46">INDEX(Risk!$C$4:$F$8,Attacker_Threat_Zone[[#This Row],[Likelihood]],VLOOKUP(Attacker_Threat_Zone[[#This Row],[Impact
I]],Impact_Mapping[],2,FALSE))</f>
        <v>#VALUE!</v>
      </c>
      <c r="V46" s="190" t="e" cm="1">
        <f t="array" ref="V46">INDEX(Risk!$C$4:$F$8,Attacker_Threat_Zone[[#This Row],[Likelihood]],VLOOKUP(Attacker_Threat_Zone[[#This Row],[Impact
A]],Impact_Mapping[],2,FALSE))</f>
        <v>#VALUE!</v>
      </c>
      <c r="W4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6" s="188" t="str">
        <f>IF(Attacker_Threat_Zone[[#This Row],[Relevance]]="No"," ",MAX(VLOOKUP(Attacker_Threat_Zone[[#This Row],[Risk
C]],SL_Mapping[],2,FALSE),0))</f>
        <v xml:space="preserve"> </v>
      </c>
      <c r="Y46" s="188" t="str">
        <f>IF(Attacker_Threat_Zone[[#This Row],[Relevance]]="No"," ",MAX(VLOOKUP(Attacker_Threat_Zone[[#This Row],[Risk
I]],SL_Mapping[],2,FALSE),0))</f>
        <v xml:space="preserve"> </v>
      </c>
      <c r="Z46" s="188" t="str">
        <f>IF(Attacker_Threat_Zone[[#This Row],[Relevance]]="No"," ",MAX(VLOOKUP(Attacker_Threat_Zone[[#This Row],[Risk
A]],SL_Mapping[],2,FALSE),0))</f>
        <v xml:space="preserve"> </v>
      </c>
      <c r="AA46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6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6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6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6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6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6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6" s="72"/>
    </row>
    <row r="47" spans="1:34">
      <c r="A47" s="47" t="s">
        <v>131</v>
      </c>
      <c r="B47" s="51" t="s">
        <v>96</v>
      </c>
      <c r="C47" s="51" t="s">
        <v>96</v>
      </c>
      <c r="D47" s="51" t="s">
        <v>94</v>
      </c>
      <c r="E47" s="51" t="s">
        <v>81</v>
      </c>
      <c r="F47" s="51" t="s">
        <v>96</v>
      </c>
      <c r="G47" s="51" t="s">
        <v>97</v>
      </c>
      <c r="H47" s="51" t="s">
        <v>83</v>
      </c>
      <c r="I47" s="52" t="s">
        <v>91</v>
      </c>
      <c r="J47" s="189"/>
      <c r="K47" s="189"/>
      <c r="L47" s="190" t="str">
        <f>IF(Attacker_Threat_Zone[[#This Row],[Relevance]]="No"," ",MAX(Attacker_Threat_Zone[[#This Row],[Exposure]]+Attacker_Threat_Zone[[#This Row],[Vulnerability]]-1,1))</f>
        <v xml:space="preserve"> </v>
      </c>
      <c r="M47" s="189"/>
      <c r="N47" s="190">
        <f>IFERROR(VLOOKUP(Attacker_Threat_Zone[[#This Row],[Impact
C]],Impact_Mapping[],2,FALSE),0)</f>
        <v>0</v>
      </c>
      <c r="O47" s="189"/>
      <c r="P47" s="190">
        <f>IFERROR(VLOOKUP(Attacker_Threat_Zone[[#This Row],[Impact
I]],Impact_Mapping[],2,FALSE),0)</f>
        <v>0</v>
      </c>
      <c r="Q47" s="189"/>
      <c r="R47" s="190">
        <f>IFERROR(VLOOKUP(Attacker_Threat_Zone[[#This Row],[Impact
A]],Impact_Mapping[],2,FALSE),0)</f>
        <v>0</v>
      </c>
      <c r="S4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7" s="190" t="e" cm="1">
        <f t="array" ref="T47">INDEX(Risk!$C$4:$F$8,Attacker_Threat_Zone[[#This Row],[Likelihood]],VLOOKUP(Attacker_Threat_Zone[[#This Row],[Impact
C]],Impact_Mapping[],2,FALSE))</f>
        <v>#VALUE!</v>
      </c>
      <c r="U47" s="190" t="e" cm="1">
        <f t="array" ref="U47">INDEX(Risk!$C$4:$F$8,Attacker_Threat_Zone[[#This Row],[Likelihood]],VLOOKUP(Attacker_Threat_Zone[[#This Row],[Impact
I]],Impact_Mapping[],2,FALSE))</f>
        <v>#VALUE!</v>
      </c>
      <c r="V47" s="190" t="e" cm="1">
        <f t="array" ref="V47">INDEX(Risk!$C$4:$F$8,Attacker_Threat_Zone[[#This Row],[Likelihood]],VLOOKUP(Attacker_Threat_Zone[[#This Row],[Impact
A]],Impact_Mapping[],2,FALSE))</f>
        <v>#VALUE!</v>
      </c>
      <c r="W4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7" s="188" t="str">
        <f>IF(Attacker_Threat_Zone[[#This Row],[Relevance]]="No"," ",MAX(VLOOKUP(Attacker_Threat_Zone[[#This Row],[Risk
C]],SL_Mapping[],2,FALSE),0))</f>
        <v xml:space="preserve"> </v>
      </c>
      <c r="Y47" s="188" t="str">
        <f>IF(Attacker_Threat_Zone[[#This Row],[Relevance]]="No"," ",MAX(VLOOKUP(Attacker_Threat_Zone[[#This Row],[Risk
I]],SL_Mapping[],2,FALSE),0))</f>
        <v xml:space="preserve"> </v>
      </c>
      <c r="Z47" s="188" t="str">
        <f>IF(Attacker_Threat_Zone[[#This Row],[Relevance]]="No"," ",MAX(VLOOKUP(Attacker_Threat_Zone[[#This Row],[Risk
A]],SL_Mapping[],2,FALSE),0))</f>
        <v xml:space="preserve"> </v>
      </c>
      <c r="AA4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7" s="72"/>
    </row>
    <row r="48" spans="1:34">
      <c r="A48" s="47" t="s">
        <v>132</v>
      </c>
      <c r="B48" s="51" t="s">
        <v>9</v>
      </c>
      <c r="C48" s="51" t="s">
        <v>9</v>
      </c>
      <c r="D48" s="51" t="s">
        <v>9</v>
      </c>
      <c r="E48" s="51" t="s">
        <v>9</v>
      </c>
      <c r="F48" s="51" t="s">
        <v>9</v>
      </c>
      <c r="G48" s="51" t="s">
        <v>9</v>
      </c>
      <c r="H48" s="51" t="s">
        <v>9</v>
      </c>
      <c r="I48" s="52" t="s">
        <v>91</v>
      </c>
      <c r="J48" s="189"/>
      <c r="K48" s="189"/>
      <c r="L48" s="190" t="str">
        <f>IF(Attacker_Threat_Zone[[#This Row],[Relevance]]="No"," ",MAX(Attacker_Threat_Zone[[#This Row],[Exposure]]+Attacker_Threat_Zone[[#This Row],[Vulnerability]]-1,1))</f>
        <v xml:space="preserve"> </v>
      </c>
      <c r="M48" s="189"/>
      <c r="N48" s="190">
        <f>IFERROR(VLOOKUP(Attacker_Threat_Zone[[#This Row],[Impact
C]],Impact_Mapping[],2,FALSE),0)</f>
        <v>0</v>
      </c>
      <c r="O48" s="189"/>
      <c r="P48" s="190">
        <f>IFERROR(VLOOKUP(Attacker_Threat_Zone[[#This Row],[Impact
I]],Impact_Mapping[],2,FALSE),0)</f>
        <v>0</v>
      </c>
      <c r="Q48" s="189"/>
      <c r="R48" s="190">
        <f>IFERROR(VLOOKUP(Attacker_Threat_Zone[[#This Row],[Impact
A]],Impact_Mapping[],2,FALSE),0)</f>
        <v>0</v>
      </c>
      <c r="S4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8" s="190" t="e" cm="1">
        <f t="array" ref="T48">INDEX(Risk!$C$4:$F$8,Attacker_Threat_Zone[[#This Row],[Likelihood]],VLOOKUP(Attacker_Threat_Zone[[#This Row],[Impact
C]],Impact_Mapping[],2,FALSE))</f>
        <v>#VALUE!</v>
      </c>
      <c r="U48" s="190" t="e" cm="1">
        <f t="array" ref="U48">INDEX(Risk!$C$4:$F$8,Attacker_Threat_Zone[[#This Row],[Likelihood]],VLOOKUP(Attacker_Threat_Zone[[#This Row],[Impact
I]],Impact_Mapping[],2,FALSE))</f>
        <v>#VALUE!</v>
      </c>
      <c r="V48" s="190" t="e" cm="1">
        <f t="array" ref="V48">INDEX(Risk!$C$4:$F$8,Attacker_Threat_Zone[[#This Row],[Likelihood]],VLOOKUP(Attacker_Threat_Zone[[#This Row],[Impact
A]],Impact_Mapping[],2,FALSE))</f>
        <v>#VALUE!</v>
      </c>
      <c r="W4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8" s="188" t="str">
        <f>IF(Attacker_Threat_Zone[[#This Row],[Relevance]]="No"," ",MAX(VLOOKUP(Attacker_Threat_Zone[[#This Row],[Risk
C]],SL_Mapping[],2,FALSE),0))</f>
        <v xml:space="preserve"> </v>
      </c>
      <c r="Y48" s="188" t="str">
        <f>IF(Attacker_Threat_Zone[[#This Row],[Relevance]]="No"," ",MAX(VLOOKUP(Attacker_Threat_Zone[[#This Row],[Risk
I]],SL_Mapping[],2,FALSE),0))</f>
        <v xml:space="preserve"> </v>
      </c>
      <c r="Z48" s="188" t="str">
        <f>IF(Attacker_Threat_Zone[[#This Row],[Relevance]]="No"," ",MAX(VLOOKUP(Attacker_Threat_Zone[[#This Row],[Risk
A]],SL_Mapping[],2,FALSE),0))</f>
        <v xml:space="preserve"> </v>
      </c>
      <c r="AA4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8" s="72"/>
    </row>
    <row r="49" spans="1:34">
      <c r="A49" s="47" t="s">
        <v>133</v>
      </c>
      <c r="B49" s="51" t="s">
        <v>9</v>
      </c>
      <c r="C49" s="51" t="s">
        <v>9</v>
      </c>
      <c r="D49" s="51" t="s">
        <v>9</v>
      </c>
      <c r="E49" s="51" t="s">
        <v>9</v>
      </c>
      <c r="F49" s="51" t="s">
        <v>96</v>
      </c>
      <c r="G49" s="51" t="s">
        <v>9</v>
      </c>
      <c r="H49" s="51" t="s">
        <v>9</v>
      </c>
      <c r="I49" s="52" t="s">
        <v>91</v>
      </c>
      <c r="J49" s="189"/>
      <c r="K49" s="189"/>
      <c r="L49" s="190" t="str">
        <f>IF(Attacker_Threat_Zone[[#This Row],[Relevance]]="No"," ",MAX(Attacker_Threat_Zone[[#This Row],[Exposure]]+Attacker_Threat_Zone[[#This Row],[Vulnerability]]-1,1))</f>
        <v xml:space="preserve"> </v>
      </c>
      <c r="M49" s="189"/>
      <c r="N49" s="190">
        <f>IFERROR(VLOOKUP(Attacker_Threat_Zone[[#This Row],[Impact
C]],Impact_Mapping[],2,FALSE),0)</f>
        <v>0</v>
      </c>
      <c r="O49" s="189"/>
      <c r="P49" s="190">
        <f>IFERROR(VLOOKUP(Attacker_Threat_Zone[[#This Row],[Impact
I]],Impact_Mapping[],2,FALSE),0)</f>
        <v>0</v>
      </c>
      <c r="Q49" s="189"/>
      <c r="R49" s="190">
        <f>IFERROR(VLOOKUP(Attacker_Threat_Zone[[#This Row],[Impact
A]],Impact_Mapping[],2,FALSE),0)</f>
        <v>0</v>
      </c>
      <c r="S4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49" s="190" t="e" cm="1">
        <f t="array" ref="T49">INDEX(Risk!$C$4:$F$8,Attacker_Threat_Zone[[#This Row],[Likelihood]],VLOOKUP(Attacker_Threat_Zone[[#This Row],[Impact
C]],Impact_Mapping[],2,FALSE))</f>
        <v>#VALUE!</v>
      </c>
      <c r="U49" s="190" t="e" cm="1">
        <f t="array" ref="U49">INDEX(Risk!$C$4:$F$8,Attacker_Threat_Zone[[#This Row],[Likelihood]],VLOOKUP(Attacker_Threat_Zone[[#This Row],[Impact
I]],Impact_Mapping[],2,FALSE))</f>
        <v>#VALUE!</v>
      </c>
      <c r="V49" s="190" t="e" cm="1">
        <f t="array" ref="V49">INDEX(Risk!$C$4:$F$8,Attacker_Threat_Zone[[#This Row],[Likelihood]],VLOOKUP(Attacker_Threat_Zone[[#This Row],[Impact
A]],Impact_Mapping[],2,FALSE))</f>
        <v>#VALUE!</v>
      </c>
      <c r="W4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49" s="188" t="str">
        <f>IF(Attacker_Threat_Zone[[#This Row],[Relevance]]="No"," ",MAX(VLOOKUP(Attacker_Threat_Zone[[#This Row],[Risk
C]],SL_Mapping[],2,FALSE),0))</f>
        <v xml:space="preserve"> </v>
      </c>
      <c r="Y49" s="188" t="str">
        <f>IF(Attacker_Threat_Zone[[#This Row],[Relevance]]="No"," ",MAX(VLOOKUP(Attacker_Threat_Zone[[#This Row],[Risk
I]],SL_Mapping[],2,FALSE),0))</f>
        <v xml:space="preserve"> </v>
      </c>
      <c r="Z49" s="188" t="str">
        <f>IF(Attacker_Threat_Zone[[#This Row],[Relevance]]="No"," ",MAX(VLOOKUP(Attacker_Threat_Zone[[#This Row],[Risk
A]],SL_Mapping[],2,FALSE),0))</f>
        <v xml:space="preserve"> </v>
      </c>
      <c r="AA4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4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4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4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4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4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4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49" s="72"/>
    </row>
    <row r="50" spans="1:34">
      <c r="A50" s="47" t="s">
        <v>134</v>
      </c>
      <c r="B50" s="51" t="s">
        <v>9</v>
      </c>
      <c r="C50" s="51" t="s">
        <v>9</v>
      </c>
      <c r="D50" s="51" t="s">
        <v>9</v>
      </c>
      <c r="E50" s="51" t="s">
        <v>9</v>
      </c>
      <c r="F50" s="51" t="s">
        <v>83</v>
      </c>
      <c r="G50" s="51" t="s">
        <v>9</v>
      </c>
      <c r="H50" s="51" t="s">
        <v>83</v>
      </c>
      <c r="I50" s="52" t="s">
        <v>91</v>
      </c>
      <c r="J50" s="189"/>
      <c r="K50" s="189"/>
      <c r="L50" s="190" t="str">
        <f>IF(Attacker_Threat_Zone[[#This Row],[Relevance]]="No"," ",MAX(Attacker_Threat_Zone[[#This Row],[Exposure]]+Attacker_Threat_Zone[[#This Row],[Vulnerability]]-1,1))</f>
        <v xml:space="preserve"> </v>
      </c>
      <c r="M50" s="189"/>
      <c r="N50" s="190">
        <f>IFERROR(VLOOKUP(Attacker_Threat_Zone[[#This Row],[Impact
C]],Impact_Mapping[],2,FALSE),0)</f>
        <v>0</v>
      </c>
      <c r="O50" s="189"/>
      <c r="P50" s="190">
        <f>IFERROR(VLOOKUP(Attacker_Threat_Zone[[#This Row],[Impact
I]],Impact_Mapping[],2,FALSE),0)</f>
        <v>0</v>
      </c>
      <c r="Q50" s="189"/>
      <c r="R50" s="190">
        <f>IFERROR(VLOOKUP(Attacker_Threat_Zone[[#This Row],[Impact
A]],Impact_Mapping[],2,FALSE),0)</f>
        <v>0</v>
      </c>
      <c r="S50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0" s="190" t="e" cm="1">
        <f t="array" ref="T50">INDEX(Risk!$C$4:$F$8,Attacker_Threat_Zone[[#This Row],[Likelihood]],VLOOKUP(Attacker_Threat_Zone[[#This Row],[Impact
C]],Impact_Mapping[],2,FALSE))</f>
        <v>#VALUE!</v>
      </c>
      <c r="U50" s="190" t="e" cm="1">
        <f t="array" ref="U50">INDEX(Risk!$C$4:$F$8,Attacker_Threat_Zone[[#This Row],[Likelihood]],VLOOKUP(Attacker_Threat_Zone[[#This Row],[Impact
I]],Impact_Mapping[],2,FALSE))</f>
        <v>#VALUE!</v>
      </c>
      <c r="V50" s="190" t="e" cm="1">
        <f t="array" ref="V50">INDEX(Risk!$C$4:$F$8,Attacker_Threat_Zone[[#This Row],[Likelihood]],VLOOKUP(Attacker_Threat_Zone[[#This Row],[Impact
A]],Impact_Mapping[],2,FALSE))</f>
        <v>#VALUE!</v>
      </c>
      <c r="W50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0" s="188" t="str">
        <f>IF(Attacker_Threat_Zone[[#This Row],[Relevance]]="No"," ",MAX(VLOOKUP(Attacker_Threat_Zone[[#This Row],[Risk
C]],SL_Mapping[],2,FALSE),0))</f>
        <v xml:space="preserve"> </v>
      </c>
      <c r="Y50" s="188" t="str">
        <f>IF(Attacker_Threat_Zone[[#This Row],[Relevance]]="No"," ",MAX(VLOOKUP(Attacker_Threat_Zone[[#This Row],[Risk
I]],SL_Mapping[],2,FALSE),0))</f>
        <v xml:space="preserve"> </v>
      </c>
      <c r="Z50" s="188" t="str">
        <f>IF(Attacker_Threat_Zone[[#This Row],[Relevance]]="No"," ",MAX(VLOOKUP(Attacker_Threat_Zone[[#This Row],[Risk
A]],SL_Mapping[],2,FALSE),0))</f>
        <v xml:space="preserve"> </v>
      </c>
      <c r="AA5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0" s="72"/>
    </row>
    <row r="51" spans="1:34">
      <c r="A51" s="47" t="s">
        <v>135</v>
      </c>
      <c r="B51" s="51" t="s">
        <v>96</v>
      </c>
      <c r="C51" s="51" t="s">
        <v>96</v>
      </c>
      <c r="D51" s="51" t="s">
        <v>9</v>
      </c>
      <c r="E51" s="51" t="s">
        <v>9</v>
      </c>
      <c r="F51" s="51" t="s">
        <v>9</v>
      </c>
      <c r="G51" s="51" t="s">
        <v>9</v>
      </c>
      <c r="H51" s="51" t="s">
        <v>9</v>
      </c>
      <c r="I51" s="52" t="s">
        <v>91</v>
      </c>
      <c r="J51" s="189"/>
      <c r="K51" s="189"/>
      <c r="L51" s="190" t="str">
        <f>IF(Attacker_Threat_Zone[[#This Row],[Relevance]]="No"," ",MAX(Attacker_Threat_Zone[[#This Row],[Exposure]]+Attacker_Threat_Zone[[#This Row],[Vulnerability]]-1,1))</f>
        <v xml:space="preserve"> </v>
      </c>
      <c r="M51" s="189"/>
      <c r="N51" s="190">
        <f>IFERROR(VLOOKUP(Attacker_Threat_Zone[[#This Row],[Impact
C]],Impact_Mapping[],2,FALSE),0)</f>
        <v>0</v>
      </c>
      <c r="O51" s="189"/>
      <c r="P51" s="190">
        <f>IFERROR(VLOOKUP(Attacker_Threat_Zone[[#This Row],[Impact
I]],Impact_Mapping[],2,FALSE),0)</f>
        <v>0</v>
      </c>
      <c r="Q51" s="189"/>
      <c r="R51" s="190">
        <f>IFERROR(VLOOKUP(Attacker_Threat_Zone[[#This Row],[Impact
A]],Impact_Mapping[],2,FALSE),0)</f>
        <v>0</v>
      </c>
      <c r="S5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1" s="190" t="e" cm="1">
        <f t="array" ref="T51">INDEX(Risk!$C$4:$F$8,Attacker_Threat_Zone[[#This Row],[Likelihood]],VLOOKUP(Attacker_Threat_Zone[[#This Row],[Impact
C]],Impact_Mapping[],2,FALSE))</f>
        <v>#VALUE!</v>
      </c>
      <c r="U51" s="190" t="e" cm="1">
        <f t="array" ref="U51">INDEX(Risk!$C$4:$F$8,Attacker_Threat_Zone[[#This Row],[Likelihood]],VLOOKUP(Attacker_Threat_Zone[[#This Row],[Impact
I]],Impact_Mapping[],2,FALSE))</f>
        <v>#VALUE!</v>
      </c>
      <c r="V51" s="190" t="e" cm="1">
        <f t="array" ref="V51">INDEX(Risk!$C$4:$F$8,Attacker_Threat_Zone[[#This Row],[Likelihood]],VLOOKUP(Attacker_Threat_Zone[[#This Row],[Impact
A]],Impact_Mapping[],2,FALSE))</f>
        <v>#VALUE!</v>
      </c>
      <c r="W5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1" s="188" t="str">
        <f>IF(Attacker_Threat_Zone[[#This Row],[Relevance]]="No"," ",MAX(VLOOKUP(Attacker_Threat_Zone[[#This Row],[Risk
C]],SL_Mapping[],2,FALSE),0))</f>
        <v xml:space="preserve"> </v>
      </c>
      <c r="Y51" s="188" t="str">
        <f>IF(Attacker_Threat_Zone[[#This Row],[Relevance]]="No"," ",MAX(VLOOKUP(Attacker_Threat_Zone[[#This Row],[Risk
I]],SL_Mapping[],2,FALSE),0))</f>
        <v xml:space="preserve"> </v>
      </c>
      <c r="Z51" s="188" t="str">
        <f>IF(Attacker_Threat_Zone[[#This Row],[Relevance]]="No"," ",MAX(VLOOKUP(Attacker_Threat_Zone[[#This Row],[Risk
A]],SL_Mapping[],2,FALSE),0))</f>
        <v xml:space="preserve"> </v>
      </c>
      <c r="AA51" s="186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1" s="186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1" s="186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1" s="186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1" s="186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1" s="186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1" s="186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1" s="73"/>
    </row>
    <row r="52" spans="1:34">
      <c r="A52" s="47" t="s">
        <v>136</v>
      </c>
      <c r="B52" s="51" t="s">
        <v>96</v>
      </c>
      <c r="C52" s="51" t="s">
        <v>96</v>
      </c>
      <c r="D52" s="51" t="s">
        <v>9</v>
      </c>
      <c r="E52" s="51" t="s">
        <v>9</v>
      </c>
      <c r="F52" s="51" t="s">
        <v>9</v>
      </c>
      <c r="G52" s="51" t="s">
        <v>9</v>
      </c>
      <c r="H52" s="51" t="s">
        <v>9</v>
      </c>
      <c r="I52" s="52" t="s">
        <v>91</v>
      </c>
      <c r="J52" s="189"/>
      <c r="K52" s="189"/>
      <c r="L52" s="190" t="str">
        <f>IF(Attacker_Threat_Zone[[#This Row],[Relevance]]="No"," ",MAX(Attacker_Threat_Zone[[#This Row],[Exposure]]+Attacker_Threat_Zone[[#This Row],[Vulnerability]]-1,1))</f>
        <v xml:space="preserve"> </v>
      </c>
      <c r="M52" s="189"/>
      <c r="N52" s="190">
        <f>IFERROR(VLOOKUP(Attacker_Threat_Zone[[#This Row],[Impact
C]],Impact_Mapping[],2,FALSE),0)</f>
        <v>0</v>
      </c>
      <c r="O52" s="189"/>
      <c r="P52" s="190">
        <f>IFERROR(VLOOKUP(Attacker_Threat_Zone[[#This Row],[Impact
I]],Impact_Mapping[],2,FALSE),0)</f>
        <v>0</v>
      </c>
      <c r="Q52" s="189"/>
      <c r="R52" s="190">
        <f>IFERROR(VLOOKUP(Attacker_Threat_Zone[[#This Row],[Impact
A]],Impact_Mapping[],2,FALSE),0)</f>
        <v>0</v>
      </c>
      <c r="S5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2" s="190" t="e" cm="1">
        <f t="array" ref="T52">INDEX(Risk!$C$4:$F$8,Attacker_Threat_Zone[[#This Row],[Likelihood]],VLOOKUP(Attacker_Threat_Zone[[#This Row],[Impact
C]],Impact_Mapping[],2,FALSE))</f>
        <v>#VALUE!</v>
      </c>
      <c r="U52" s="190" t="e" cm="1">
        <f t="array" ref="U52">INDEX(Risk!$C$4:$F$8,Attacker_Threat_Zone[[#This Row],[Likelihood]],VLOOKUP(Attacker_Threat_Zone[[#This Row],[Impact
I]],Impact_Mapping[],2,FALSE))</f>
        <v>#VALUE!</v>
      </c>
      <c r="V52" s="190" t="e" cm="1">
        <f t="array" ref="V52">INDEX(Risk!$C$4:$F$8,Attacker_Threat_Zone[[#This Row],[Likelihood]],VLOOKUP(Attacker_Threat_Zone[[#This Row],[Impact
A]],Impact_Mapping[],2,FALSE))</f>
        <v>#VALUE!</v>
      </c>
      <c r="W5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2" s="188" t="str">
        <f>IF(Attacker_Threat_Zone[[#This Row],[Relevance]]="No"," ",MAX(VLOOKUP(Attacker_Threat_Zone[[#This Row],[Risk
C]],SL_Mapping[],2,FALSE),0))</f>
        <v xml:space="preserve"> </v>
      </c>
      <c r="Y52" s="188" t="str">
        <f>IF(Attacker_Threat_Zone[[#This Row],[Relevance]]="No"," ",MAX(VLOOKUP(Attacker_Threat_Zone[[#This Row],[Risk
I]],SL_Mapping[],2,FALSE),0))</f>
        <v xml:space="preserve"> </v>
      </c>
      <c r="Z52" s="188" t="str">
        <f>IF(Attacker_Threat_Zone[[#This Row],[Relevance]]="No"," ",MAX(VLOOKUP(Attacker_Threat_Zone[[#This Row],[Risk
A]],SL_Mapping[],2,FALSE),0))</f>
        <v xml:space="preserve"> </v>
      </c>
      <c r="AA5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2" s="72"/>
    </row>
    <row r="53" spans="1:34">
      <c r="A53" s="47" t="s">
        <v>137</v>
      </c>
      <c r="B53" s="51" t="s">
        <v>9</v>
      </c>
      <c r="C53" s="51" t="s">
        <v>9</v>
      </c>
      <c r="D53" s="51" t="s">
        <v>9</v>
      </c>
      <c r="E53" s="51" t="s">
        <v>9</v>
      </c>
      <c r="F53" s="51" t="s">
        <v>96</v>
      </c>
      <c r="G53" s="51" t="s">
        <v>97</v>
      </c>
      <c r="H53" s="51" t="s">
        <v>9</v>
      </c>
      <c r="I53" s="52" t="s">
        <v>91</v>
      </c>
      <c r="J53" s="189"/>
      <c r="K53" s="189"/>
      <c r="L53" s="190" t="str">
        <f>IF(Attacker_Threat_Zone[[#This Row],[Relevance]]="No"," ",MAX(Attacker_Threat_Zone[[#This Row],[Exposure]]+Attacker_Threat_Zone[[#This Row],[Vulnerability]]-1,1))</f>
        <v xml:space="preserve"> </v>
      </c>
      <c r="M53" s="189"/>
      <c r="N53" s="190">
        <f>IFERROR(VLOOKUP(Attacker_Threat_Zone[[#This Row],[Impact
C]],Impact_Mapping[],2,FALSE),0)</f>
        <v>0</v>
      </c>
      <c r="O53" s="189"/>
      <c r="P53" s="190">
        <f>IFERROR(VLOOKUP(Attacker_Threat_Zone[[#This Row],[Impact
I]],Impact_Mapping[],2,FALSE),0)</f>
        <v>0</v>
      </c>
      <c r="Q53" s="189"/>
      <c r="R53" s="190">
        <f>IFERROR(VLOOKUP(Attacker_Threat_Zone[[#This Row],[Impact
A]],Impact_Mapping[],2,FALSE),0)</f>
        <v>0</v>
      </c>
      <c r="S5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3" s="190" t="e" cm="1">
        <f t="array" ref="T53">INDEX(Risk!$C$4:$F$8,Attacker_Threat_Zone[[#This Row],[Likelihood]],VLOOKUP(Attacker_Threat_Zone[[#This Row],[Impact
C]],Impact_Mapping[],2,FALSE))</f>
        <v>#VALUE!</v>
      </c>
      <c r="U53" s="190" t="e" cm="1">
        <f t="array" ref="U53">INDEX(Risk!$C$4:$F$8,Attacker_Threat_Zone[[#This Row],[Likelihood]],VLOOKUP(Attacker_Threat_Zone[[#This Row],[Impact
I]],Impact_Mapping[],2,FALSE))</f>
        <v>#VALUE!</v>
      </c>
      <c r="V53" s="190" t="e" cm="1">
        <f t="array" ref="V53">INDEX(Risk!$C$4:$F$8,Attacker_Threat_Zone[[#This Row],[Likelihood]],VLOOKUP(Attacker_Threat_Zone[[#This Row],[Impact
A]],Impact_Mapping[],2,FALSE))</f>
        <v>#VALUE!</v>
      </c>
      <c r="W5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3" s="188" t="str">
        <f>IF(Attacker_Threat_Zone[[#This Row],[Relevance]]="No"," ",MAX(VLOOKUP(Attacker_Threat_Zone[[#This Row],[Risk
C]],SL_Mapping[],2,FALSE),0))</f>
        <v xml:space="preserve"> </v>
      </c>
      <c r="Y53" s="188" t="str">
        <f>IF(Attacker_Threat_Zone[[#This Row],[Relevance]]="No"," ",MAX(VLOOKUP(Attacker_Threat_Zone[[#This Row],[Risk
I]],SL_Mapping[],2,FALSE),0))</f>
        <v xml:space="preserve"> </v>
      </c>
      <c r="Z53" s="188" t="str">
        <f>IF(Attacker_Threat_Zone[[#This Row],[Relevance]]="No"," ",MAX(VLOOKUP(Attacker_Threat_Zone[[#This Row],[Risk
A]],SL_Mapping[],2,FALSE),0))</f>
        <v xml:space="preserve"> </v>
      </c>
      <c r="AA5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3" s="72"/>
    </row>
    <row r="54" spans="1:34">
      <c r="A54" s="47" t="s">
        <v>138</v>
      </c>
      <c r="B54" s="51" t="s">
        <v>9</v>
      </c>
      <c r="C54" s="51" t="s">
        <v>9</v>
      </c>
      <c r="D54" s="51" t="s">
        <v>9</v>
      </c>
      <c r="E54" s="51" t="s">
        <v>9</v>
      </c>
      <c r="F54" s="51" t="s">
        <v>96</v>
      </c>
      <c r="G54" s="51" t="s">
        <v>97</v>
      </c>
      <c r="H54" s="51" t="s">
        <v>9</v>
      </c>
      <c r="I54" s="52" t="s">
        <v>91</v>
      </c>
      <c r="J54" s="189"/>
      <c r="K54" s="189"/>
      <c r="L54" s="190" t="str">
        <f>IF(Attacker_Threat_Zone[[#This Row],[Relevance]]="No"," ",MAX(Attacker_Threat_Zone[[#This Row],[Exposure]]+Attacker_Threat_Zone[[#This Row],[Vulnerability]]-1,1))</f>
        <v xml:space="preserve"> </v>
      </c>
      <c r="M54" s="189"/>
      <c r="N54" s="190">
        <f>IFERROR(VLOOKUP(Attacker_Threat_Zone[[#This Row],[Impact
C]],Impact_Mapping[],2,FALSE),0)</f>
        <v>0</v>
      </c>
      <c r="O54" s="189"/>
      <c r="P54" s="190">
        <f>IFERROR(VLOOKUP(Attacker_Threat_Zone[[#This Row],[Impact
I]],Impact_Mapping[],2,FALSE),0)</f>
        <v>0</v>
      </c>
      <c r="Q54" s="189"/>
      <c r="R54" s="190">
        <f>IFERROR(VLOOKUP(Attacker_Threat_Zone[[#This Row],[Impact
A]],Impact_Mapping[],2,FALSE),0)</f>
        <v>0</v>
      </c>
      <c r="S5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4" s="190" t="e" cm="1">
        <f t="array" ref="T54">INDEX(Risk!$C$4:$F$8,Attacker_Threat_Zone[[#This Row],[Likelihood]],VLOOKUP(Attacker_Threat_Zone[[#This Row],[Impact
C]],Impact_Mapping[],2,FALSE))</f>
        <v>#VALUE!</v>
      </c>
      <c r="U54" s="190" t="e" cm="1">
        <f t="array" ref="U54">INDEX(Risk!$C$4:$F$8,Attacker_Threat_Zone[[#This Row],[Likelihood]],VLOOKUP(Attacker_Threat_Zone[[#This Row],[Impact
I]],Impact_Mapping[],2,FALSE))</f>
        <v>#VALUE!</v>
      </c>
      <c r="V54" s="190" t="e" cm="1">
        <f t="array" ref="V54">INDEX(Risk!$C$4:$F$8,Attacker_Threat_Zone[[#This Row],[Likelihood]],VLOOKUP(Attacker_Threat_Zone[[#This Row],[Impact
A]],Impact_Mapping[],2,FALSE))</f>
        <v>#VALUE!</v>
      </c>
      <c r="W5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4" s="188" t="str">
        <f>IF(Attacker_Threat_Zone[[#This Row],[Relevance]]="No"," ",MAX(VLOOKUP(Attacker_Threat_Zone[[#This Row],[Risk
C]],SL_Mapping[],2,FALSE),0))</f>
        <v xml:space="preserve"> </v>
      </c>
      <c r="Y54" s="188" t="str">
        <f>IF(Attacker_Threat_Zone[[#This Row],[Relevance]]="No"," ",MAX(VLOOKUP(Attacker_Threat_Zone[[#This Row],[Risk
I]],SL_Mapping[],2,FALSE),0))</f>
        <v xml:space="preserve"> </v>
      </c>
      <c r="Z54" s="188" t="str">
        <f>IF(Attacker_Threat_Zone[[#This Row],[Relevance]]="No"," ",MAX(VLOOKUP(Attacker_Threat_Zone[[#This Row],[Risk
A]],SL_Mapping[],2,FALSE),0))</f>
        <v xml:space="preserve"> </v>
      </c>
      <c r="AA54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4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4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4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4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4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4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4" s="72"/>
    </row>
    <row r="55" spans="1:34">
      <c r="A55" s="47" t="s">
        <v>139</v>
      </c>
      <c r="B55" s="51" t="s">
        <v>9</v>
      </c>
      <c r="C55" s="51" t="s">
        <v>9</v>
      </c>
      <c r="D55" s="51" t="s">
        <v>9</v>
      </c>
      <c r="E55" s="51" t="s">
        <v>9</v>
      </c>
      <c r="F55" s="51" t="s">
        <v>96</v>
      </c>
      <c r="G55" s="51" t="s">
        <v>97</v>
      </c>
      <c r="H55" s="51" t="s">
        <v>9</v>
      </c>
      <c r="I55" s="52" t="s">
        <v>91</v>
      </c>
      <c r="J55" s="189"/>
      <c r="K55" s="189"/>
      <c r="L55" s="190" t="str">
        <f>IF(Attacker_Threat_Zone[[#This Row],[Relevance]]="No"," ",MAX(Attacker_Threat_Zone[[#This Row],[Exposure]]+Attacker_Threat_Zone[[#This Row],[Vulnerability]]-1,1))</f>
        <v xml:space="preserve"> </v>
      </c>
      <c r="M55" s="189"/>
      <c r="N55" s="190">
        <f>IFERROR(VLOOKUP(Attacker_Threat_Zone[[#This Row],[Impact
C]],Impact_Mapping[],2,FALSE),0)</f>
        <v>0</v>
      </c>
      <c r="O55" s="189"/>
      <c r="P55" s="190">
        <f>IFERROR(VLOOKUP(Attacker_Threat_Zone[[#This Row],[Impact
I]],Impact_Mapping[],2,FALSE),0)</f>
        <v>0</v>
      </c>
      <c r="Q55" s="189"/>
      <c r="R55" s="190">
        <f>IFERROR(VLOOKUP(Attacker_Threat_Zone[[#This Row],[Impact
A]],Impact_Mapping[],2,FALSE),0)</f>
        <v>0</v>
      </c>
      <c r="S55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5" s="190" t="e" cm="1">
        <f t="array" ref="T55">INDEX(Risk!$C$4:$F$8,Attacker_Threat_Zone[[#This Row],[Likelihood]],VLOOKUP(Attacker_Threat_Zone[[#This Row],[Impact
C]],Impact_Mapping[],2,FALSE))</f>
        <v>#VALUE!</v>
      </c>
      <c r="U55" s="190" t="e" cm="1">
        <f t="array" ref="U55">INDEX(Risk!$C$4:$F$8,Attacker_Threat_Zone[[#This Row],[Likelihood]],VLOOKUP(Attacker_Threat_Zone[[#This Row],[Impact
I]],Impact_Mapping[],2,FALSE))</f>
        <v>#VALUE!</v>
      </c>
      <c r="V55" s="190" t="e" cm="1">
        <f t="array" ref="V55">INDEX(Risk!$C$4:$F$8,Attacker_Threat_Zone[[#This Row],[Likelihood]],VLOOKUP(Attacker_Threat_Zone[[#This Row],[Impact
A]],Impact_Mapping[],2,FALSE))</f>
        <v>#VALUE!</v>
      </c>
      <c r="W55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5" s="188" t="str">
        <f>IF(Attacker_Threat_Zone[[#This Row],[Relevance]]="No"," ",MAX(VLOOKUP(Attacker_Threat_Zone[[#This Row],[Risk
C]],SL_Mapping[],2,FALSE),0))</f>
        <v xml:space="preserve"> </v>
      </c>
      <c r="Y55" s="188" t="str">
        <f>IF(Attacker_Threat_Zone[[#This Row],[Relevance]]="No"," ",MAX(VLOOKUP(Attacker_Threat_Zone[[#This Row],[Risk
I]],SL_Mapping[],2,FALSE),0))</f>
        <v xml:space="preserve"> </v>
      </c>
      <c r="Z55" s="188" t="str">
        <f>IF(Attacker_Threat_Zone[[#This Row],[Relevance]]="No"," ",MAX(VLOOKUP(Attacker_Threat_Zone[[#This Row],[Risk
A]],SL_Mapping[],2,FALSE),0))</f>
        <v xml:space="preserve"> </v>
      </c>
      <c r="AA55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5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5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5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5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5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5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5" s="72"/>
    </row>
    <row r="56" spans="1:34">
      <c r="A56" s="47" t="s">
        <v>140</v>
      </c>
      <c r="B56" s="51" t="s">
        <v>9</v>
      </c>
      <c r="C56" s="51" t="s">
        <v>9</v>
      </c>
      <c r="D56" s="51" t="s">
        <v>9</v>
      </c>
      <c r="E56" s="51" t="s">
        <v>9</v>
      </c>
      <c r="F56" s="51" t="s">
        <v>96</v>
      </c>
      <c r="G56" s="51" t="s">
        <v>97</v>
      </c>
      <c r="H56" s="51" t="s">
        <v>9</v>
      </c>
      <c r="I56" s="52" t="s">
        <v>91</v>
      </c>
      <c r="J56" s="189"/>
      <c r="K56" s="189"/>
      <c r="L56" s="190" t="str">
        <f>IF(Attacker_Threat_Zone[[#This Row],[Relevance]]="No"," ",MAX(Attacker_Threat_Zone[[#This Row],[Exposure]]+Attacker_Threat_Zone[[#This Row],[Vulnerability]]-1,1))</f>
        <v xml:space="preserve"> </v>
      </c>
      <c r="M56" s="189"/>
      <c r="N56" s="190">
        <f>IFERROR(VLOOKUP(Attacker_Threat_Zone[[#This Row],[Impact
C]],Impact_Mapping[],2,FALSE),0)</f>
        <v>0</v>
      </c>
      <c r="O56" s="189"/>
      <c r="P56" s="190">
        <f>IFERROR(VLOOKUP(Attacker_Threat_Zone[[#This Row],[Impact
I]],Impact_Mapping[],2,FALSE),0)</f>
        <v>0</v>
      </c>
      <c r="Q56" s="189"/>
      <c r="R56" s="190">
        <f>IFERROR(VLOOKUP(Attacker_Threat_Zone[[#This Row],[Impact
A]],Impact_Mapping[],2,FALSE),0)</f>
        <v>0</v>
      </c>
      <c r="S56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6" s="190" t="e" cm="1">
        <f t="array" ref="T56">INDEX(Risk!$C$4:$F$8,Attacker_Threat_Zone[[#This Row],[Likelihood]],VLOOKUP(Attacker_Threat_Zone[[#This Row],[Impact
C]],Impact_Mapping[],2,FALSE))</f>
        <v>#VALUE!</v>
      </c>
      <c r="U56" s="190" t="e" cm="1">
        <f t="array" ref="U56">INDEX(Risk!$C$4:$F$8,Attacker_Threat_Zone[[#This Row],[Likelihood]],VLOOKUP(Attacker_Threat_Zone[[#This Row],[Impact
I]],Impact_Mapping[],2,FALSE))</f>
        <v>#VALUE!</v>
      </c>
      <c r="V56" s="190" t="e" cm="1">
        <f t="array" ref="V56">INDEX(Risk!$C$4:$F$8,Attacker_Threat_Zone[[#This Row],[Likelihood]],VLOOKUP(Attacker_Threat_Zone[[#This Row],[Impact
A]],Impact_Mapping[],2,FALSE))</f>
        <v>#VALUE!</v>
      </c>
      <c r="W56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6" s="188" t="str">
        <f>IF(Attacker_Threat_Zone[[#This Row],[Relevance]]="No"," ",MAX(VLOOKUP(Attacker_Threat_Zone[[#This Row],[Risk
C]],SL_Mapping[],2,FALSE),0))</f>
        <v xml:space="preserve"> </v>
      </c>
      <c r="Y56" s="188" t="str">
        <f>IF(Attacker_Threat_Zone[[#This Row],[Relevance]]="No"," ",MAX(VLOOKUP(Attacker_Threat_Zone[[#This Row],[Risk
I]],SL_Mapping[],2,FALSE),0))</f>
        <v xml:space="preserve"> </v>
      </c>
      <c r="Z56" s="188" t="str">
        <f>IF(Attacker_Threat_Zone[[#This Row],[Relevance]]="No"," ",MAX(VLOOKUP(Attacker_Threat_Zone[[#This Row],[Risk
A]],SL_Mapping[],2,FALSE),0))</f>
        <v xml:space="preserve"> </v>
      </c>
      <c r="AA56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6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6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6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6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6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6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6" s="72"/>
    </row>
    <row r="57" spans="1:34">
      <c r="A57" s="47" t="s">
        <v>141</v>
      </c>
      <c r="B57" s="51" t="s">
        <v>96</v>
      </c>
      <c r="C57" s="51" t="s">
        <v>96</v>
      </c>
      <c r="D57" s="51" t="s">
        <v>94</v>
      </c>
      <c r="E57" s="51" t="s">
        <v>81</v>
      </c>
      <c r="F57" s="51" t="s">
        <v>9</v>
      </c>
      <c r="G57" s="51" t="s">
        <v>9</v>
      </c>
      <c r="H57" s="51" t="s">
        <v>9</v>
      </c>
      <c r="I57" s="52" t="s">
        <v>91</v>
      </c>
      <c r="J57" s="189"/>
      <c r="K57" s="189"/>
      <c r="L57" s="190" t="str">
        <f>IF(Attacker_Threat_Zone[[#This Row],[Relevance]]="No"," ",MAX(Attacker_Threat_Zone[[#This Row],[Exposure]]+Attacker_Threat_Zone[[#This Row],[Vulnerability]]-1,1))</f>
        <v xml:space="preserve"> </v>
      </c>
      <c r="M57" s="189"/>
      <c r="N57" s="190">
        <f>IFERROR(VLOOKUP(Attacker_Threat_Zone[[#This Row],[Impact
C]],Impact_Mapping[],2,FALSE),0)</f>
        <v>0</v>
      </c>
      <c r="O57" s="189"/>
      <c r="P57" s="190">
        <f>IFERROR(VLOOKUP(Attacker_Threat_Zone[[#This Row],[Impact
I]],Impact_Mapping[],2,FALSE),0)</f>
        <v>0</v>
      </c>
      <c r="Q57" s="189"/>
      <c r="R57" s="190">
        <f>IFERROR(VLOOKUP(Attacker_Threat_Zone[[#This Row],[Impact
A]],Impact_Mapping[],2,FALSE),0)</f>
        <v>0</v>
      </c>
      <c r="S57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7" s="190" t="e" cm="1">
        <f t="array" ref="T57">INDEX(Risk!$C$4:$F$8,Attacker_Threat_Zone[[#This Row],[Likelihood]],VLOOKUP(Attacker_Threat_Zone[[#This Row],[Impact
C]],Impact_Mapping[],2,FALSE))</f>
        <v>#VALUE!</v>
      </c>
      <c r="U57" s="190" t="e" cm="1">
        <f t="array" ref="U57">INDEX(Risk!$C$4:$F$8,Attacker_Threat_Zone[[#This Row],[Likelihood]],VLOOKUP(Attacker_Threat_Zone[[#This Row],[Impact
I]],Impact_Mapping[],2,FALSE))</f>
        <v>#VALUE!</v>
      </c>
      <c r="V57" s="190" t="e" cm="1">
        <f t="array" ref="V57">INDEX(Risk!$C$4:$F$8,Attacker_Threat_Zone[[#This Row],[Likelihood]],VLOOKUP(Attacker_Threat_Zone[[#This Row],[Impact
A]],Impact_Mapping[],2,FALSE))</f>
        <v>#VALUE!</v>
      </c>
      <c r="W57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7" s="188" t="str">
        <f>IF(Attacker_Threat_Zone[[#This Row],[Relevance]]="No"," ",MAX(VLOOKUP(Attacker_Threat_Zone[[#This Row],[Risk
C]],SL_Mapping[],2,FALSE),0))</f>
        <v xml:space="preserve"> </v>
      </c>
      <c r="Y57" s="188" t="str">
        <f>IF(Attacker_Threat_Zone[[#This Row],[Relevance]]="No"," ",MAX(VLOOKUP(Attacker_Threat_Zone[[#This Row],[Risk
I]],SL_Mapping[],2,FALSE),0))</f>
        <v xml:space="preserve"> </v>
      </c>
      <c r="Z57" s="188" t="str">
        <f>IF(Attacker_Threat_Zone[[#This Row],[Relevance]]="No"," ",MAX(VLOOKUP(Attacker_Threat_Zone[[#This Row],[Risk
A]],SL_Mapping[],2,FALSE),0))</f>
        <v xml:space="preserve"> </v>
      </c>
      <c r="AA57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7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7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7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7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7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7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7" s="72"/>
    </row>
    <row r="58" spans="1:34">
      <c r="A58" s="47" t="s">
        <v>142</v>
      </c>
      <c r="B58" s="51" t="s">
        <v>96</v>
      </c>
      <c r="C58" s="51" t="s">
        <v>96</v>
      </c>
      <c r="D58" s="51" t="s">
        <v>94</v>
      </c>
      <c r="E58" s="51" t="s">
        <v>81</v>
      </c>
      <c r="F58" s="51" t="s">
        <v>9</v>
      </c>
      <c r="G58" s="51" t="s">
        <v>9</v>
      </c>
      <c r="H58" s="51" t="s">
        <v>9</v>
      </c>
      <c r="I58" s="52" t="s">
        <v>91</v>
      </c>
      <c r="J58" s="189"/>
      <c r="K58" s="189"/>
      <c r="L58" s="190" t="str">
        <f>IF(Attacker_Threat_Zone[[#This Row],[Relevance]]="No"," ",MAX(Attacker_Threat_Zone[[#This Row],[Exposure]]+Attacker_Threat_Zone[[#This Row],[Vulnerability]]-1,1))</f>
        <v xml:space="preserve"> </v>
      </c>
      <c r="M58" s="189"/>
      <c r="N58" s="190">
        <f>IFERROR(VLOOKUP(Attacker_Threat_Zone[[#This Row],[Impact
C]],Impact_Mapping[],2,FALSE),0)</f>
        <v>0</v>
      </c>
      <c r="O58" s="189"/>
      <c r="P58" s="190">
        <f>IFERROR(VLOOKUP(Attacker_Threat_Zone[[#This Row],[Impact
I]],Impact_Mapping[],2,FALSE),0)</f>
        <v>0</v>
      </c>
      <c r="Q58" s="189"/>
      <c r="R58" s="190">
        <f>IFERROR(VLOOKUP(Attacker_Threat_Zone[[#This Row],[Impact
A]],Impact_Mapping[],2,FALSE),0)</f>
        <v>0</v>
      </c>
      <c r="S58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8" s="190" t="e" cm="1">
        <f t="array" ref="T58">INDEX(Risk!$C$4:$F$8,Attacker_Threat_Zone[[#This Row],[Likelihood]],VLOOKUP(Attacker_Threat_Zone[[#This Row],[Impact
C]],Impact_Mapping[],2,FALSE))</f>
        <v>#VALUE!</v>
      </c>
      <c r="U58" s="190" t="e" cm="1">
        <f t="array" ref="U58">INDEX(Risk!$C$4:$F$8,Attacker_Threat_Zone[[#This Row],[Likelihood]],VLOOKUP(Attacker_Threat_Zone[[#This Row],[Impact
I]],Impact_Mapping[],2,FALSE))</f>
        <v>#VALUE!</v>
      </c>
      <c r="V58" s="190" t="e" cm="1">
        <f t="array" ref="V58">INDEX(Risk!$C$4:$F$8,Attacker_Threat_Zone[[#This Row],[Likelihood]],VLOOKUP(Attacker_Threat_Zone[[#This Row],[Impact
A]],Impact_Mapping[],2,FALSE))</f>
        <v>#VALUE!</v>
      </c>
      <c r="W58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8" s="188" t="str">
        <f>IF(Attacker_Threat_Zone[[#This Row],[Relevance]]="No"," ",MAX(VLOOKUP(Attacker_Threat_Zone[[#This Row],[Risk
C]],SL_Mapping[],2,FALSE),0))</f>
        <v xml:space="preserve"> </v>
      </c>
      <c r="Y58" s="188" t="str">
        <f>IF(Attacker_Threat_Zone[[#This Row],[Relevance]]="No"," ",MAX(VLOOKUP(Attacker_Threat_Zone[[#This Row],[Risk
I]],SL_Mapping[],2,FALSE),0))</f>
        <v xml:space="preserve"> </v>
      </c>
      <c r="Z58" s="188" t="str">
        <f>IF(Attacker_Threat_Zone[[#This Row],[Relevance]]="No"," ",MAX(VLOOKUP(Attacker_Threat_Zone[[#This Row],[Risk
A]],SL_Mapping[],2,FALSE),0))</f>
        <v xml:space="preserve"> </v>
      </c>
      <c r="AA58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8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8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8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8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8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8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8" s="72"/>
    </row>
    <row r="59" spans="1:34">
      <c r="A59" s="47" t="s">
        <v>143</v>
      </c>
      <c r="B59" s="51" t="s">
        <v>96</v>
      </c>
      <c r="C59" s="51" t="s">
        <v>96</v>
      </c>
      <c r="D59" s="51" t="s">
        <v>94</v>
      </c>
      <c r="E59" s="51" t="s">
        <v>81</v>
      </c>
      <c r="F59" s="51" t="s">
        <v>9</v>
      </c>
      <c r="G59" s="51" t="s">
        <v>9</v>
      </c>
      <c r="H59" s="51" t="s">
        <v>9</v>
      </c>
      <c r="I59" s="52" t="s">
        <v>91</v>
      </c>
      <c r="J59" s="189"/>
      <c r="K59" s="189"/>
      <c r="L59" s="190" t="str">
        <f>IF(Attacker_Threat_Zone[[#This Row],[Relevance]]="No"," ",MAX(Attacker_Threat_Zone[[#This Row],[Exposure]]+Attacker_Threat_Zone[[#This Row],[Vulnerability]]-1,1))</f>
        <v xml:space="preserve"> </v>
      </c>
      <c r="M59" s="189"/>
      <c r="N59" s="190">
        <f>IFERROR(VLOOKUP(Attacker_Threat_Zone[[#This Row],[Impact
C]],Impact_Mapping[],2,FALSE),0)</f>
        <v>0</v>
      </c>
      <c r="O59" s="189"/>
      <c r="P59" s="190">
        <f>IFERROR(VLOOKUP(Attacker_Threat_Zone[[#This Row],[Impact
I]],Impact_Mapping[],2,FALSE),0)</f>
        <v>0</v>
      </c>
      <c r="Q59" s="189"/>
      <c r="R59" s="190">
        <f>IFERROR(VLOOKUP(Attacker_Threat_Zone[[#This Row],[Impact
A]],Impact_Mapping[],2,FALSE),0)</f>
        <v>0</v>
      </c>
      <c r="S59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59" s="190" t="e" cm="1">
        <f t="array" ref="T59">INDEX(Risk!$C$4:$F$8,Attacker_Threat_Zone[[#This Row],[Likelihood]],VLOOKUP(Attacker_Threat_Zone[[#This Row],[Impact
C]],Impact_Mapping[],2,FALSE))</f>
        <v>#VALUE!</v>
      </c>
      <c r="U59" s="190" t="e" cm="1">
        <f t="array" ref="U59">INDEX(Risk!$C$4:$F$8,Attacker_Threat_Zone[[#This Row],[Likelihood]],VLOOKUP(Attacker_Threat_Zone[[#This Row],[Impact
I]],Impact_Mapping[],2,FALSE))</f>
        <v>#VALUE!</v>
      </c>
      <c r="V59" s="190" t="e" cm="1">
        <f t="array" ref="V59">INDEX(Risk!$C$4:$F$8,Attacker_Threat_Zone[[#This Row],[Likelihood]],VLOOKUP(Attacker_Threat_Zone[[#This Row],[Impact
A]],Impact_Mapping[],2,FALSE))</f>
        <v>#VALUE!</v>
      </c>
      <c r="W59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59" s="188" t="str">
        <f>IF(Attacker_Threat_Zone[[#This Row],[Relevance]]="No"," ",MAX(VLOOKUP(Attacker_Threat_Zone[[#This Row],[Risk
C]],SL_Mapping[],2,FALSE),0))</f>
        <v xml:space="preserve"> </v>
      </c>
      <c r="Y59" s="188" t="str">
        <f>IF(Attacker_Threat_Zone[[#This Row],[Relevance]]="No"," ",MAX(VLOOKUP(Attacker_Threat_Zone[[#This Row],[Risk
I]],SL_Mapping[],2,FALSE),0))</f>
        <v xml:space="preserve"> </v>
      </c>
      <c r="Z59" s="188" t="str">
        <f>IF(Attacker_Threat_Zone[[#This Row],[Relevance]]="No"," ",MAX(VLOOKUP(Attacker_Threat_Zone[[#This Row],[Risk
A]],SL_Mapping[],2,FALSE),0))</f>
        <v xml:space="preserve"> </v>
      </c>
      <c r="AA59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59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59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59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59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59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59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59" s="72"/>
    </row>
    <row r="60" spans="1:34">
      <c r="A60" s="47" t="s">
        <v>144</v>
      </c>
      <c r="B60" s="51" t="s">
        <v>9</v>
      </c>
      <c r="C60" s="51" t="s">
        <v>9</v>
      </c>
      <c r="D60" s="51" t="s">
        <v>9</v>
      </c>
      <c r="E60" s="51" t="s">
        <v>9</v>
      </c>
      <c r="F60" s="51" t="s">
        <v>9</v>
      </c>
      <c r="G60" s="51" t="s">
        <v>9</v>
      </c>
      <c r="H60" s="51" t="s">
        <v>83</v>
      </c>
      <c r="I60" s="52" t="s">
        <v>91</v>
      </c>
      <c r="J60" s="189"/>
      <c r="K60" s="189"/>
      <c r="L60" s="190" t="str">
        <f>IF(Attacker_Threat_Zone[[#This Row],[Relevance]]="No"," ",MAX(Attacker_Threat_Zone[[#This Row],[Exposure]]+Attacker_Threat_Zone[[#This Row],[Vulnerability]]-1,1))</f>
        <v xml:space="preserve"> </v>
      </c>
      <c r="M60" s="189"/>
      <c r="N60" s="190">
        <f>IFERROR(VLOOKUP(Attacker_Threat_Zone[[#This Row],[Impact
C]],Impact_Mapping[],2,FALSE),0)</f>
        <v>0</v>
      </c>
      <c r="O60" s="189"/>
      <c r="P60" s="190">
        <f>IFERROR(VLOOKUP(Attacker_Threat_Zone[[#This Row],[Impact
I]],Impact_Mapping[],2,FALSE),0)</f>
        <v>0</v>
      </c>
      <c r="Q60" s="189"/>
      <c r="R60" s="190">
        <f>IFERROR(VLOOKUP(Attacker_Threat_Zone[[#This Row],[Impact
A]],Impact_Mapping[],2,FALSE),0)</f>
        <v>0</v>
      </c>
      <c r="S60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60" s="190" t="e" cm="1">
        <f t="array" ref="T60">INDEX(Risk!$C$4:$F$8,Attacker_Threat_Zone[[#This Row],[Likelihood]],VLOOKUP(Attacker_Threat_Zone[[#This Row],[Impact
C]],Impact_Mapping[],2,FALSE))</f>
        <v>#VALUE!</v>
      </c>
      <c r="U60" s="190" t="e" cm="1">
        <f t="array" ref="U60">INDEX(Risk!$C$4:$F$8,Attacker_Threat_Zone[[#This Row],[Likelihood]],VLOOKUP(Attacker_Threat_Zone[[#This Row],[Impact
I]],Impact_Mapping[],2,FALSE))</f>
        <v>#VALUE!</v>
      </c>
      <c r="V60" s="190" t="e" cm="1">
        <f t="array" ref="V60">INDEX(Risk!$C$4:$F$8,Attacker_Threat_Zone[[#This Row],[Likelihood]],VLOOKUP(Attacker_Threat_Zone[[#This Row],[Impact
A]],Impact_Mapping[],2,FALSE))</f>
        <v>#VALUE!</v>
      </c>
      <c r="W60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60" s="188" t="str">
        <f>IF(Attacker_Threat_Zone[[#This Row],[Relevance]]="No"," ",MAX(VLOOKUP(Attacker_Threat_Zone[[#This Row],[Risk
C]],SL_Mapping[],2,FALSE),0))</f>
        <v xml:space="preserve"> </v>
      </c>
      <c r="Y60" s="188" t="str">
        <f>IF(Attacker_Threat_Zone[[#This Row],[Relevance]]="No"," ",MAX(VLOOKUP(Attacker_Threat_Zone[[#This Row],[Risk
I]],SL_Mapping[],2,FALSE),0))</f>
        <v xml:space="preserve"> </v>
      </c>
      <c r="Z60" s="188" t="str">
        <f>IF(Attacker_Threat_Zone[[#This Row],[Relevance]]="No"," ",MAX(VLOOKUP(Attacker_Threat_Zone[[#This Row],[Risk
A]],SL_Mapping[],2,FALSE),0))</f>
        <v xml:space="preserve"> </v>
      </c>
      <c r="AA60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0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0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0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0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0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0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0" s="72"/>
    </row>
    <row r="61" spans="1:34">
      <c r="A61" s="47" t="s">
        <v>145</v>
      </c>
      <c r="B61" s="51" t="s">
        <v>9</v>
      </c>
      <c r="C61" s="51" t="s">
        <v>9</v>
      </c>
      <c r="D61" s="51" t="s">
        <v>9</v>
      </c>
      <c r="E61" s="51" t="s">
        <v>9</v>
      </c>
      <c r="F61" s="51" t="s">
        <v>9</v>
      </c>
      <c r="G61" s="51" t="s">
        <v>9</v>
      </c>
      <c r="H61" s="51" t="s">
        <v>83</v>
      </c>
      <c r="I61" s="52" t="s">
        <v>91</v>
      </c>
      <c r="J61" s="189"/>
      <c r="K61" s="189"/>
      <c r="L61" s="190" t="str">
        <f>IF(Attacker_Threat_Zone[[#This Row],[Relevance]]="No"," ",MAX(Attacker_Threat_Zone[[#This Row],[Exposure]]+Attacker_Threat_Zone[[#This Row],[Vulnerability]]-1,1))</f>
        <v xml:space="preserve"> </v>
      </c>
      <c r="M61" s="189"/>
      <c r="N61" s="190">
        <f>IFERROR(VLOOKUP(Attacker_Threat_Zone[[#This Row],[Impact
C]],Impact_Mapping[],2,FALSE),0)</f>
        <v>0</v>
      </c>
      <c r="O61" s="189"/>
      <c r="P61" s="190">
        <f>IFERROR(VLOOKUP(Attacker_Threat_Zone[[#This Row],[Impact
I]],Impact_Mapping[],2,FALSE),0)</f>
        <v>0</v>
      </c>
      <c r="Q61" s="189"/>
      <c r="R61" s="190">
        <f>IFERROR(VLOOKUP(Attacker_Threat_Zone[[#This Row],[Impact
A]],Impact_Mapping[],2,FALSE),0)</f>
        <v>0</v>
      </c>
      <c r="S61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61" s="190" t="e" cm="1">
        <f t="array" ref="T61">INDEX(Risk!$C$4:$F$8,Attacker_Threat_Zone[[#This Row],[Likelihood]],VLOOKUP(Attacker_Threat_Zone[[#This Row],[Impact
C]],Impact_Mapping[],2,FALSE))</f>
        <v>#VALUE!</v>
      </c>
      <c r="U61" s="190" t="e" cm="1">
        <f t="array" ref="U61">INDEX(Risk!$C$4:$F$8,Attacker_Threat_Zone[[#This Row],[Likelihood]],VLOOKUP(Attacker_Threat_Zone[[#This Row],[Impact
I]],Impact_Mapping[],2,FALSE))</f>
        <v>#VALUE!</v>
      </c>
      <c r="V61" s="190" t="e" cm="1">
        <f t="array" ref="V61">INDEX(Risk!$C$4:$F$8,Attacker_Threat_Zone[[#This Row],[Likelihood]],VLOOKUP(Attacker_Threat_Zone[[#This Row],[Impact
A]],Impact_Mapping[],2,FALSE))</f>
        <v>#VALUE!</v>
      </c>
      <c r="W61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61" s="188" t="str">
        <f>IF(Attacker_Threat_Zone[[#This Row],[Relevance]]="No"," ",MAX(VLOOKUP(Attacker_Threat_Zone[[#This Row],[Risk
C]],SL_Mapping[],2,FALSE),0))</f>
        <v xml:space="preserve"> </v>
      </c>
      <c r="Y61" s="188" t="str">
        <f>IF(Attacker_Threat_Zone[[#This Row],[Relevance]]="No"," ",MAX(VLOOKUP(Attacker_Threat_Zone[[#This Row],[Risk
I]],SL_Mapping[],2,FALSE),0))</f>
        <v xml:space="preserve"> </v>
      </c>
      <c r="Z61" s="188" t="str">
        <f>IF(Attacker_Threat_Zone[[#This Row],[Relevance]]="No"," ",MAX(VLOOKUP(Attacker_Threat_Zone[[#This Row],[Risk
A]],SL_Mapping[],2,FALSE),0))</f>
        <v xml:space="preserve"> </v>
      </c>
      <c r="AA61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1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1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1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1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1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1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1" s="72"/>
    </row>
    <row r="62" spans="1:34">
      <c r="A62" s="47" t="s">
        <v>146</v>
      </c>
      <c r="B62" s="51" t="s">
        <v>9</v>
      </c>
      <c r="C62" s="51" t="s">
        <v>9</v>
      </c>
      <c r="D62" s="51" t="s">
        <v>94</v>
      </c>
      <c r="E62" s="51" t="s">
        <v>9</v>
      </c>
      <c r="F62" s="51" t="s">
        <v>9</v>
      </c>
      <c r="G62" s="51" t="s">
        <v>9</v>
      </c>
      <c r="H62" s="51" t="s">
        <v>9</v>
      </c>
      <c r="I62" s="52" t="s">
        <v>91</v>
      </c>
      <c r="J62" s="189"/>
      <c r="K62" s="189"/>
      <c r="L62" s="190" t="str">
        <f>IF(Attacker_Threat_Zone[[#This Row],[Relevance]]="No"," ",MAX(Attacker_Threat_Zone[[#This Row],[Exposure]]+Attacker_Threat_Zone[[#This Row],[Vulnerability]]-1,1))</f>
        <v xml:space="preserve"> </v>
      </c>
      <c r="M62" s="189"/>
      <c r="N62" s="190">
        <f>IFERROR(VLOOKUP(Attacker_Threat_Zone[[#This Row],[Impact
C]],Impact_Mapping[],2,FALSE),0)</f>
        <v>0</v>
      </c>
      <c r="O62" s="189"/>
      <c r="P62" s="190">
        <f>IFERROR(VLOOKUP(Attacker_Threat_Zone[[#This Row],[Impact
I]],Impact_Mapping[],2,FALSE),0)</f>
        <v>0</v>
      </c>
      <c r="Q62" s="189"/>
      <c r="R62" s="190">
        <f>IFERROR(VLOOKUP(Attacker_Threat_Zone[[#This Row],[Impact
A]],Impact_Mapping[],2,FALSE),0)</f>
        <v>0</v>
      </c>
      <c r="S62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62" s="190" t="e" cm="1">
        <f t="array" ref="T62">INDEX(Risk!$C$4:$F$8,Attacker_Threat_Zone[[#This Row],[Likelihood]],VLOOKUP(Attacker_Threat_Zone[[#This Row],[Impact
C]],Impact_Mapping[],2,FALSE))</f>
        <v>#VALUE!</v>
      </c>
      <c r="U62" s="190" t="e" cm="1">
        <f t="array" ref="U62">INDEX(Risk!$C$4:$F$8,Attacker_Threat_Zone[[#This Row],[Likelihood]],VLOOKUP(Attacker_Threat_Zone[[#This Row],[Impact
I]],Impact_Mapping[],2,FALSE))</f>
        <v>#VALUE!</v>
      </c>
      <c r="V62" s="190" t="e" cm="1">
        <f t="array" ref="V62">INDEX(Risk!$C$4:$F$8,Attacker_Threat_Zone[[#This Row],[Likelihood]],VLOOKUP(Attacker_Threat_Zone[[#This Row],[Impact
A]],Impact_Mapping[],2,FALSE))</f>
        <v>#VALUE!</v>
      </c>
      <c r="W62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62" s="188" t="str">
        <f>IF(Attacker_Threat_Zone[[#This Row],[Relevance]]="No"," ",MAX(VLOOKUP(Attacker_Threat_Zone[[#This Row],[Risk
C]],SL_Mapping[],2,FALSE),0))</f>
        <v xml:space="preserve"> </v>
      </c>
      <c r="Y62" s="188" t="str">
        <f>IF(Attacker_Threat_Zone[[#This Row],[Relevance]]="No"," ",MAX(VLOOKUP(Attacker_Threat_Zone[[#This Row],[Risk
I]],SL_Mapping[],2,FALSE),0))</f>
        <v xml:space="preserve"> </v>
      </c>
      <c r="Z62" s="188" t="str">
        <f>IF(Attacker_Threat_Zone[[#This Row],[Relevance]]="No"," ",MAX(VLOOKUP(Attacker_Threat_Zone[[#This Row],[Risk
A]],SL_Mapping[],2,FALSE),0))</f>
        <v xml:space="preserve"> </v>
      </c>
      <c r="AA62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2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2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2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2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2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2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2" s="72"/>
    </row>
    <row r="63" spans="1:34">
      <c r="A63" s="47" t="s">
        <v>147</v>
      </c>
      <c r="B63" s="51" t="s">
        <v>9</v>
      </c>
      <c r="C63" s="51" t="s">
        <v>9</v>
      </c>
      <c r="D63" s="51" t="s">
        <v>9</v>
      </c>
      <c r="E63" s="51" t="s">
        <v>9</v>
      </c>
      <c r="F63" s="51" t="s">
        <v>9</v>
      </c>
      <c r="G63" s="51" t="s">
        <v>9</v>
      </c>
      <c r="H63" s="51" t="s">
        <v>83</v>
      </c>
      <c r="I63" s="52" t="s">
        <v>91</v>
      </c>
      <c r="J63" s="189"/>
      <c r="K63" s="189"/>
      <c r="L63" s="190" t="str">
        <f>IF(Attacker_Threat_Zone[[#This Row],[Relevance]]="No"," ",MAX(Attacker_Threat_Zone[[#This Row],[Exposure]]+Attacker_Threat_Zone[[#This Row],[Vulnerability]]-1,1))</f>
        <v xml:space="preserve"> </v>
      </c>
      <c r="M63" s="189"/>
      <c r="N63" s="190">
        <f>IFERROR(VLOOKUP(Attacker_Threat_Zone[[#This Row],[Impact
C]],Impact_Mapping[],2,FALSE),0)</f>
        <v>0</v>
      </c>
      <c r="O63" s="189"/>
      <c r="P63" s="190">
        <f>IFERROR(VLOOKUP(Attacker_Threat_Zone[[#This Row],[Impact
I]],Impact_Mapping[],2,FALSE),0)</f>
        <v>0</v>
      </c>
      <c r="Q63" s="189"/>
      <c r="R63" s="190">
        <f>IFERROR(VLOOKUP(Attacker_Threat_Zone[[#This Row],[Impact
A]],Impact_Mapping[],2,FALSE),0)</f>
        <v>0</v>
      </c>
      <c r="S63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63" s="190" t="e" cm="1">
        <f t="array" ref="T63">INDEX(Risk!$C$4:$F$8,Attacker_Threat_Zone[[#This Row],[Likelihood]],VLOOKUP(Attacker_Threat_Zone[[#This Row],[Impact
C]],Impact_Mapping[],2,FALSE))</f>
        <v>#VALUE!</v>
      </c>
      <c r="U63" s="190" t="e" cm="1">
        <f t="array" ref="U63">INDEX(Risk!$C$4:$F$8,Attacker_Threat_Zone[[#This Row],[Likelihood]],VLOOKUP(Attacker_Threat_Zone[[#This Row],[Impact
I]],Impact_Mapping[],2,FALSE))</f>
        <v>#VALUE!</v>
      </c>
      <c r="V63" s="190" t="e" cm="1">
        <f t="array" ref="V63">INDEX(Risk!$C$4:$F$8,Attacker_Threat_Zone[[#This Row],[Likelihood]],VLOOKUP(Attacker_Threat_Zone[[#This Row],[Impact
A]],Impact_Mapping[],2,FALSE))</f>
        <v>#VALUE!</v>
      </c>
      <c r="W63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63" s="188" t="str">
        <f>IF(Attacker_Threat_Zone[[#This Row],[Relevance]]="No"," ",MAX(VLOOKUP(Attacker_Threat_Zone[[#This Row],[Risk
C]],SL_Mapping[],2,FALSE),0))</f>
        <v xml:space="preserve"> </v>
      </c>
      <c r="Y63" s="188" t="str">
        <f>IF(Attacker_Threat_Zone[[#This Row],[Relevance]]="No"," ",MAX(VLOOKUP(Attacker_Threat_Zone[[#This Row],[Risk
I]],SL_Mapping[],2,FALSE),0))</f>
        <v xml:space="preserve"> </v>
      </c>
      <c r="Z63" s="188" t="str">
        <f>IF(Attacker_Threat_Zone[[#This Row],[Relevance]]="No"," ",MAX(VLOOKUP(Attacker_Threat_Zone[[#This Row],[Risk
A]],SL_Mapping[],2,FALSE),0))</f>
        <v xml:space="preserve"> </v>
      </c>
      <c r="AA63" s="183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3" s="183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3" s="183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3" s="183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3" s="183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3" s="183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3" s="183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3" s="72"/>
    </row>
    <row r="64" spans="1:34">
      <c r="A64" s="178" t="s">
        <v>148</v>
      </c>
      <c r="B64" s="51" t="s">
        <v>96</v>
      </c>
      <c r="C64" s="51" t="s">
        <v>96</v>
      </c>
      <c r="D64" s="51" t="s">
        <v>94</v>
      </c>
      <c r="E64" s="51" t="s">
        <v>81</v>
      </c>
      <c r="F64" s="51" t="s">
        <v>96</v>
      </c>
      <c r="G64" s="51" t="s">
        <v>97</v>
      </c>
      <c r="H64" s="51" t="s">
        <v>83</v>
      </c>
      <c r="I64" s="52" t="s">
        <v>91</v>
      </c>
      <c r="J64" s="189"/>
      <c r="K64" s="189"/>
      <c r="L64" s="190" t="str">
        <f>IF(Attacker_Threat_Zone[[#This Row],[Relevance]]="No"," ",MAX(Attacker_Threat_Zone[[#This Row],[Exposure]]+Attacker_Threat_Zone[[#This Row],[Vulnerability]]-1,1))</f>
        <v xml:space="preserve"> </v>
      </c>
      <c r="M64" s="189"/>
      <c r="N64" s="190">
        <f>IFERROR(VLOOKUP(Attacker_Threat_Zone[[#This Row],[Impact
C]],Impact_Mapping[],2,FALSE),0)</f>
        <v>0</v>
      </c>
      <c r="O64" s="189"/>
      <c r="P64" s="190">
        <f>IFERROR(VLOOKUP(Attacker_Threat_Zone[[#This Row],[Impact
I]],Impact_Mapping[],2,FALSE),0)</f>
        <v>0</v>
      </c>
      <c r="Q64" s="189"/>
      <c r="R64" s="190">
        <f>IFERROR(VLOOKUP(Attacker_Threat_Zone[[#This Row],[Impact
A]],Impact_Mapping[],2,FALSE),0)</f>
        <v>0</v>
      </c>
      <c r="S64" s="190" t="str">
        <f>IF(Attacker_Threat_Zone[[#This Row],[Relevance]]="No"," ",VLOOKUP(MAX(IFERROR(VLOOKUP(Attacker_Threat_Zone[[#This Row],[Impact
C]],Impact_Mapping[],2,FALSE),0),IFERROR(VLOOKUP(Attacker_Threat_Zone[[#This Row],[Impact
I]],Impact_Mapping[],2,FALSE),0),IFERROR(VLOOKUP(Attacker_Threat_Zone[[#This Row],[Impact
A]],Impact_Mapping[],2,FALSE),0)),Impact_Mapping_Reverse[],2,FALSE))</f>
        <v xml:space="preserve"> </v>
      </c>
      <c r="T64" s="190" t="e" cm="1">
        <f t="array" ref="T64">INDEX(Risk!$C$4:$F$8,Attacker_Threat_Zone[[#This Row],[Likelihood]],VLOOKUP(Attacker_Threat_Zone[[#This Row],[Impact
C]],Impact_Mapping[],2,FALSE))</f>
        <v>#VALUE!</v>
      </c>
      <c r="U64" s="190" t="e" cm="1">
        <f t="array" ref="U64">INDEX(Risk!$C$4:$F$8,Attacker_Threat_Zone[[#This Row],[Likelihood]],VLOOKUP(Attacker_Threat_Zone[[#This Row],[Impact
I]],Impact_Mapping[],2,FALSE))</f>
        <v>#VALUE!</v>
      </c>
      <c r="V64" s="190" t="e" cm="1">
        <f t="array" ref="V64">INDEX(Risk!$C$4:$F$8,Attacker_Threat_Zone[[#This Row],[Likelihood]],VLOOKUP(Attacker_Threat_Zone[[#This Row],[Impact
A]],Impact_Mapping[],2,FALSE))</f>
        <v>#VALUE!</v>
      </c>
      <c r="W64" s="190" t="str">
        <f>IF(Attacker_Threat_Zone[[#This Row],[Relevance]]="No"," ",VLOOKUP(MAX(IFERROR(VLOOKUP(Attacker_Threat_Zone[[#This Row],[Risk
C]],Risk_Mapping[],2,FALSE),0),IFERROR(VLOOKUP(Attacker_Threat_Zone[[#This Row],[Risk
I]],Risk_Mapping[],2,FALSE),0),IFERROR(VLOOKUP(Attacker_Threat_Zone[[#This Row],[Risk
A]],Risk_Mapping[],2,FALSE),0)),Risk_Mapping_Reverse[],2,FALSE))</f>
        <v xml:space="preserve"> </v>
      </c>
      <c r="X64" s="188" t="str">
        <f>IF(Attacker_Threat_Zone[[#This Row],[Relevance]]="No"," ",MAX(VLOOKUP(Attacker_Threat_Zone[[#This Row],[Risk
C]],SL_Mapping[],2,FALSE),0))</f>
        <v xml:space="preserve"> </v>
      </c>
      <c r="Y64" s="188" t="str">
        <f>IF(Attacker_Threat_Zone[[#This Row],[Relevance]]="No"," ",MAX(VLOOKUP(Attacker_Threat_Zone[[#This Row],[Risk
I]],SL_Mapping[],2,FALSE),0))</f>
        <v xml:space="preserve"> </v>
      </c>
      <c r="Z64" s="188" t="str">
        <f>IF(Attacker_Threat_Zone[[#This Row],[Relevance]]="No"," ",MAX(VLOOKUP(Attacker_Threat_Zone[[#This Row],[Risk
A]],SL_Mapping[],2,FALSE),0))</f>
        <v xml:space="preserve"> </v>
      </c>
      <c r="AA64" s="186">
        <f>IFERROR(MAX(IF(ISERROR(FIND("C",Attacker_Threat_Zone[[#This Row],[IAC]])),0,Attacker_Threat_Zone[[#This Row],[SL
C]]),IF(ISERROR(FIND("I",Attacker_Threat_Zone[[#This Row],[IAC]])),0,Attacker_Threat_Zone[[#This Row],[SL
I]]),IF(ISERROR(FIND("A",Attacker_Threat_Zone[[#This Row],[IAC]])),0,Attacker_Threat_Zone[[#This Row],[SL
A]])),0)</f>
        <v>0</v>
      </c>
      <c r="AB64" s="186">
        <f>IFERROR(MAX(IF(ISERROR(FIND("C",Attacker_Threat_Zone[[#This Row],[UC]])),0,Attacker_Threat_Zone[[#This Row],[SL
C]]),IF(ISERROR(FIND("I",Attacker_Threat_Zone[[#This Row],[UC]])),0,Attacker_Threat_Zone[[#This Row],[SL
I]]),IF(ISERROR(FIND("A",Attacker_Threat_Zone[[#This Row],[UC]])),0,Attacker_Threat_Zone[[#This Row],[SL
A]])),0)</f>
        <v>0</v>
      </c>
      <c r="AC64" s="186">
        <f>IFERROR(MAX(IF(ISERROR(FIND("C",Attacker_Threat_Zone[[#This Row],[SI]])),0,Attacker_Threat_Zone[[#This Row],[SL
C]]),IF(ISERROR(FIND("I",Attacker_Threat_Zone[[#This Row],[SI]])),0,Attacker_Threat_Zone[[#This Row],[SL
I]]),IF(ISERROR(FIND("A",Attacker_Threat_Zone[[#This Row],[SI]])),0,Attacker_Threat_Zone[[#This Row],[SL
A]])),0)</f>
        <v>0</v>
      </c>
      <c r="AD64" s="186">
        <f>IFERROR(MAX(IF(ISERROR(FIND("C",Attacker_Threat_Zone[[#This Row],[DC]])),0,Attacker_Threat_Zone[[#This Row],[SL
C]]),IF(ISERROR(FIND("I",Attacker_Threat_Zone[[#This Row],[DC]])),0,Attacker_Threat_Zone[[#This Row],[SL
I]]),IF(ISERROR(FIND("A",Attacker_Threat_Zone[[#This Row],[DC]])),0,Attacker_Threat_Zone[[#This Row],[SL
A]])),0)</f>
        <v>0</v>
      </c>
      <c r="AE64" s="186">
        <f>IFERROR(MAX(IF(ISERROR(FIND("C",Attacker_Threat_Zone[[#This Row],[RDF]])),0,Attacker_Threat_Zone[[#This Row],[SL
C]]),IF(ISERROR(FIND("I",Attacker_Threat_Zone[[#This Row],[RDF]])),0,Attacker_Threat_Zone[[#This Row],[SL
I]]),IF(ISERROR(FIND("A",Attacker_Threat_Zone[[#This Row],[RDF]])),0,Attacker_Threat_Zone[[#This Row],[SL
A]])),0)</f>
        <v>0</v>
      </c>
      <c r="AF64" s="186">
        <f>IFERROR(MAX(IF(ISERROR(FIND("C",Attacker_Threat_Zone[[#This Row],[TRE]])),0,Attacker_Threat_Zone[[#This Row],[SL
C]]),IF(ISERROR(FIND("I",Attacker_Threat_Zone[[#This Row],[TRE]])),0,Attacker_Threat_Zone[[#This Row],[SL
I]]),IF(ISERROR(FIND("A",Attacker_Threat_Zone[[#This Row],[TRE]])),0,Attacker_Threat_Zone[[#This Row],[SL
A]])),0)</f>
        <v>0</v>
      </c>
      <c r="AG64" s="186">
        <f>IFERROR(MAX(IF(ISERROR(FIND("C",Attacker_Threat_Zone[[#This Row],[RA]])),0,Attacker_Threat_Zone[[#This Row],[SL
C]]),IF(ISERROR(FIND("I",Attacker_Threat_Zone[[#This Row],[RA]])),0,Attacker_Threat_Zone[[#This Row],[SL
I]]),IF(ISERROR(FIND("A",Attacker_Threat_Zone[[#This Row],[RA]])),0,Attacker_Threat_Zone[[#This Row],[SL
A]])),0)</f>
        <v>0</v>
      </c>
      <c r="AH64" s="73"/>
    </row>
    <row r="65" spans="12:12">
      <c r="L65" s="10"/>
    </row>
  </sheetData>
  <mergeCells count="7">
    <mergeCell ref="A2:H2"/>
    <mergeCell ref="B4:H4"/>
    <mergeCell ref="A1:Z1"/>
    <mergeCell ref="I2:Z2"/>
    <mergeCell ref="B3:H3"/>
    <mergeCell ref="J3:L3"/>
    <mergeCell ref="M3:S3"/>
  </mergeCells>
  <phoneticPr fontId="30" type="noConversion"/>
  <dataValidations count="3">
    <dataValidation type="list" allowBlank="1" showInputMessage="1" showErrorMessage="1" sqref="I6:I64" xr:uid="{00000000-0002-0000-0300-000000000000}">
      <formula1>"Yes,No"</formula1>
    </dataValidation>
    <dataValidation type="list" allowBlank="1" showInputMessage="1" showErrorMessage="1" sqref="B6:H64" xr:uid="{AF8BEADB-6B07-4A89-865A-188DB80D7DEC}">
      <formula1>"-,C,I,A,CI,CA,IA,CIA"</formula1>
    </dataValidation>
    <dataValidation type="list" allowBlank="1" showInputMessage="1" showErrorMessage="1" sqref="J6:K64" xr:uid="{63F89367-B975-430A-B830-B5442A58DAA1}">
      <formula1>"1,2,3"</formula1>
    </dataValidation>
  </dataValidations>
  <pageMargins left="0.70866141732283472" right="0.70866141732283472" top="0.78740157480314965" bottom="0.78740157480314965" header="0.31496062992125978" footer="0.31496062992125978"/>
  <pageSetup paperSize="8" scale="53" fitToHeight="0" orientation="landscape" r:id="rId1"/>
  <headerFooter>
    <oddHeader>&amp;L[company-name]&amp;CSecurity Risk Assessment
Threat Catalogue&amp;R[Author]
[Version]</oddHeader>
    <oddFooter>&amp;LEULYNX/RCA/OCORA Security Cluster&amp;C&amp;P/&amp;N&amp;R&amp;D</oddFooter>
  </headerFooter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615CBC-71FD-4E0A-ACEF-10EC1E269D1E}">
          <x14:formula1>
            <xm:f>_DATA!$D$3:$D$6</xm:f>
          </x14:formula1>
          <xm:sqref>O6:O64 M6:M64 Q6:Q64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>
    <tabColor rgb="FF00B0F0"/>
    <pageSetUpPr fitToPage="1"/>
  </sheetPr>
  <dimension ref="A1:S18"/>
  <sheetViews>
    <sheetView topLeftCell="A2" zoomScaleNormal="100" workbookViewId="0">
      <selection activeCell="C15" sqref="C15"/>
    </sheetView>
  </sheetViews>
  <sheetFormatPr baseColWidth="10" defaultColWidth="11.5546875" defaultRowHeight="14.4"/>
  <cols>
    <col min="1" max="1" width="25.109375" customWidth="1"/>
    <col min="2" max="2" width="15.44140625" customWidth="1"/>
    <col min="5" max="5" width="15.44140625" customWidth="1"/>
    <col min="6" max="6" width="15.6640625" customWidth="1"/>
    <col min="7" max="7" width="30.44140625" customWidth="1"/>
    <col min="10" max="11" width="15.44140625" customWidth="1"/>
    <col min="14" max="14" width="11.5546875" customWidth="1"/>
    <col min="15" max="15" width="13.6640625" hidden="1" customWidth="1"/>
    <col min="16" max="16" width="20.5546875" hidden="1" customWidth="1"/>
    <col min="17" max="17" width="33.33203125" hidden="1" customWidth="1"/>
    <col min="18" max="18" width="15.44140625" hidden="1" customWidth="1"/>
    <col min="19" max="19" width="18.6640625" hidden="1" customWidth="1"/>
  </cols>
  <sheetData>
    <row r="1" spans="1:19" ht="32.4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ht="32.4" customHeight="1" thickBo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</row>
    <row r="3" spans="1:19" ht="15" customHeight="1" thickBot="1">
      <c r="A3" s="217" t="s">
        <v>149</v>
      </c>
      <c r="B3" s="218"/>
      <c r="C3" s="160"/>
      <c r="D3" s="214" t="s">
        <v>150</v>
      </c>
      <c r="E3" s="215"/>
      <c r="F3" s="215"/>
      <c r="G3" s="216"/>
      <c r="H3" s="160"/>
      <c r="I3" s="221" t="s">
        <v>151</v>
      </c>
      <c r="J3" s="222"/>
      <c r="K3" s="223"/>
      <c r="L3" s="160"/>
      <c r="M3" s="160"/>
      <c r="N3" s="160"/>
    </row>
    <row r="4" spans="1:19" ht="29.4" thickBot="1">
      <c r="A4" s="219"/>
      <c r="B4" s="220"/>
      <c r="D4" s="162"/>
      <c r="E4" s="161" t="s">
        <v>152</v>
      </c>
      <c r="F4" s="161" t="s">
        <v>153</v>
      </c>
      <c r="G4" s="161" t="s">
        <v>154</v>
      </c>
      <c r="I4" s="162"/>
      <c r="J4" s="161" t="s">
        <v>155</v>
      </c>
      <c r="K4" s="161" t="s">
        <v>153</v>
      </c>
      <c r="O4" s="133" t="s">
        <v>156</v>
      </c>
      <c r="P4" s="133" t="s">
        <v>157</v>
      </c>
      <c r="Q4" s="133" t="s">
        <v>158</v>
      </c>
      <c r="R4" s="133" t="s">
        <v>159</v>
      </c>
      <c r="S4" s="133" t="s">
        <v>160</v>
      </c>
    </row>
    <row r="5" spans="1:19" ht="15" customHeight="1">
      <c r="A5" s="53" t="s">
        <v>47</v>
      </c>
      <c r="B5" s="159">
        <f>MAX(Attacker_Threat_Zone[IAC_Value])</f>
        <v>2</v>
      </c>
      <c r="D5" s="53" t="s">
        <v>47</v>
      </c>
      <c r="E5" s="159">
        <f>IF('SL-T'!O5&gt;=0,'SL-T'!O5,'SL-T'!Q5)</f>
        <v>0</v>
      </c>
      <c r="F5" s="159">
        <f>IF('SL-T'!P5&gt;=0,'SL-T'!P5,'SL-T'!Q5)</f>
        <v>0</v>
      </c>
      <c r="G5" s="163" t="str">
        <f>IF(E5&gt;=B5,"SL-T Fulfilled",IF(F5&gt;=B5,"SL-T Fulfilled after Mitigation","SL-T NOT Fulfilled"))</f>
        <v>SL-T NOT Fulfilled</v>
      </c>
      <c r="I5" s="53" t="s">
        <v>47</v>
      </c>
      <c r="J5" s="159">
        <f>SL_CC_Calc[[#This Row],[Max SL-Fulfilled (P)]]</f>
        <v>0</v>
      </c>
      <c r="K5" s="159">
        <f>SL_CC_Calc[[#This Row],[Max SL-Fulfilled (P+M)]]</f>
        <v>0</v>
      </c>
      <c r="O5">
        <f>_xlfn.MINIFS(Measure_62443_3_3[lowest SL-T],Measure_62443_3_3[FR],'SL-T'!D5,Measure_62443_3_3[Requirement Selected (Prefulfilled or Revoked)],"")-1</f>
        <v>0</v>
      </c>
      <c r="P5">
        <f>_xlfn.MINIFS(Measure_62443_3_3[lowest SL-T],Measure_62443_3_3[FR],'SL-T'!D5,Measure_62443_3_3[Requirement Selected (Prefulfilled + Mitigating or Revoked)],"")-1</f>
        <v>0</v>
      </c>
      <c r="Q5">
        <f>_xlfn.MAXIFS(Measure_62443_3_3[lowest SL-T],Measure_62443_3_3[FR],'SL-T'!D5)</f>
        <v>4</v>
      </c>
      <c r="R5">
        <f>_xlfn.MAXIFS(Measure_62443_3_3[lowest SL-T],Measure_62443_3_3[FR],'SL-T'!D5,Measure_62443_3_3[Requirement Selected (Prefulfilled)],"X")</f>
        <v>0</v>
      </c>
      <c r="S5">
        <f>_xlfn.MAXIFS(Measure_62443_3_3[lowest SL-T],Measure_62443_3_3[FR],'SL-T'!D5,Measure_62443_3_3[Requirement Selected (Prefulfilled + Mitigating)],"X")</f>
        <v>0</v>
      </c>
    </row>
    <row r="6" spans="1:19" ht="15" customHeight="1">
      <c r="A6" s="53" t="s">
        <v>48</v>
      </c>
      <c r="B6" s="159">
        <f>MAX(Attacker_Threat_Zone[UC_Value])</f>
        <v>2</v>
      </c>
      <c r="D6" s="53" t="s">
        <v>48</v>
      </c>
      <c r="E6" s="159">
        <f>IF('SL-T'!O6&gt;=0,'SL-T'!O6,'SL-T'!Q6)</f>
        <v>0</v>
      </c>
      <c r="F6" s="159">
        <f>IF('SL-T'!P6&gt;=0,'SL-T'!P6,'SL-T'!Q6)</f>
        <v>0</v>
      </c>
      <c r="G6" s="164" t="str">
        <f t="shared" ref="G6:G11" si="0">IF(E6&gt;=B6,"SL-T Fulfilled",IF(F6&gt;=B6,"SL-T Fulfilled after Mitigation","SL-T NOT Fulfilled"))</f>
        <v>SL-T NOT Fulfilled</v>
      </c>
      <c r="I6" s="53" t="s">
        <v>48</v>
      </c>
      <c r="J6" s="159">
        <f>SL_CC_Calc[[#This Row],[Max SL-Fulfilled (P)]]</f>
        <v>0</v>
      </c>
      <c r="K6" s="159">
        <f>SL_CC_Calc[[#This Row],[Max SL-Fulfilled (P+M)]]</f>
        <v>0</v>
      </c>
      <c r="O6">
        <f>_xlfn.MINIFS(Measure_62443_3_3[lowest SL-T],Measure_62443_3_3[FR],'SL-T'!D6,Measure_62443_3_3[Requirement Selected (Prefulfilled or Revoked)],"")-1</f>
        <v>0</v>
      </c>
      <c r="P6">
        <f>_xlfn.MINIFS(Measure_62443_3_3[lowest SL-T],Measure_62443_3_3[FR],'SL-T'!D6,Measure_62443_3_3[Requirement Selected (Prefulfilled + Mitigating or Revoked)],"")-1</f>
        <v>0</v>
      </c>
      <c r="Q6">
        <f>_xlfn.MAXIFS(Measure_62443_3_3[lowest SL-T],Measure_62443_3_3[FR],'SL-T'!D6)</f>
        <v>4</v>
      </c>
      <c r="R6">
        <f>_xlfn.MAXIFS(Measure_62443_3_3[lowest SL-T],Measure_62443_3_3[FR],'SL-T'!D6,Measure_62443_3_3[Requirement Selected (Prefulfilled)],"X")</f>
        <v>0</v>
      </c>
      <c r="S6">
        <f>_xlfn.MAXIFS(Measure_62443_3_3[lowest SL-T],Measure_62443_3_3[FR],'SL-T'!D6,Measure_62443_3_3[Requirement Selected (Prefulfilled + Mitigating)],"X")</f>
        <v>0</v>
      </c>
    </row>
    <row r="7" spans="1:19" ht="15" customHeight="1">
      <c r="A7" s="53" t="s">
        <v>49</v>
      </c>
      <c r="B7" s="159">
        <f>MAX(Attacker_Threat_Zone[SI_Value])</f>
        <v>0</v>
      </c>
      <c r="D7" s="53" t="s">
        <v>49</v>
      </c>
      <c r="E7" s="159">
        <f>IF('SL-T'!O7&gt;=0,'SL-T'!O7,'SL-T'!Q7)</f>
        <v>0</v>
      </c>
      <c r="F7" s="159">
        <f>IF('SL-T'!P7&gt;=0,'SL-T'!P7,'SL-T'!Q7)</f>
        <v>0</v>
      </c>
      <c r="G7" s="164" t="str">
        <f t="shared" si="0"/>
        <v>SL-T Fulfilled</v>
      </c>
      <c r="I7" s="53" t="s">
        <v>49</v>
      </c>
      <c r="J7" s="159">
        <f>SL_CC_Calc[[#This Row],[Max SL-Fulfilled (P)]]</f>
        <v>0</v>
      </c>
      <c r="K7" s="159">
        <f>SL_CC_Calc[[#This Row],[Max SL-Fulfilled (P+M)]]</f>
        <v>0</v>
      </c>
      <c r="O7">
        <f>_xlfn.MINIFS(Measure_62443_3_3[lowest SL-T],Measure_62443_3_3[FR],'SL-T'!D7,Measure_62443_3_3[Requirement Selected (Prefulfilled or Revoked)],"")-1</f>
        <v>0</v>
      </c>
      <c r="P7">
        <f>_xlfn.MINIFS(Measure_62443_3_3[lowest SL-T],Measure_62443_3_3[FR],'SL-T'!D7,Measure_62443_3_3[Requirement Selected (Prefulfilled + Mitigating or Revoked)],"")-1</f>
        <v>0</v>
      </c>
      <c r="Q7">
        <f>_xlfn.MAXIFS(Measure_62443_3_3[lowest SL-T],Measure_62443_3_3[FR],'SL-T'!D7)</f>
        <v>4</v>
      </c>
      <c r="R7">
        <f>_xlfn.MAXIFS(Measure_62443_3_3[lowest SL-T],Measure_62443_3_3[FR],'SL-T'!D7,Measure_62443_3_3[Requirement Selected (Prefulfilled)],"X")</f>
        <v>0</v>
      </c>
      <c r="S7">
        <f>_xlfn.MAXIFS(Measure_62443_3_3[lowest SL-T],Measure_62443_3_3[FR],'SL-T'!D7,Measure_62443_3_3[Requirement Selected (Prefulfilled + Mitigating)],"X")</f>
        <v>0</v>
      </c>
    </row>
    <row r="8" spans="1:19" ht="15" customHeight="1">
      <c r="A8" s="53" t="s">
        <v>50</v>
      </c>
      <c r="B8" s="159">
        <f>MAX(Attacker_Threat_Zone[DC_Value])</f>
        <v>0</v>
      </c>
      <c r="D8" s="53" t="s">
        <v>50</v>
      </c>
      <c r="E8" s="159">
        <f>IF('SL-T'!O8&gt;=0,'SL-T'!O8,'SL-T'!Q8)</f>
        <v>0</v>
      </c>
      <c r="F8" s="159">
        <f>IF('SL-T'!P8&gt;=0,'SL-T'!P8,'SL-T'!Q8)</f>
        <v>0</v>
      </c>
      <c r="G8" s="164" t="str">
        <f t="shared" si="0"/>
        <v>SL-T Fulfilled</v>
      </c>
      <c r="I8" s="53" t="s">
        <v>50</v>
      </c>
      <c r="J8" s="159">
        <f>SL_CC_Calc[[#This Row],[Max SL-Fulfilled (P)]]</f>
        <v>0</v>
      </c>
      <c r="K8" s="159">
        <f>SL_CC_Calc[[#This Row],[Max SL-Fulfilled (P+M)]]</f>
        <v>0</v>
      </c>
      <c r="O8">
        <f>_xlfn.MINIFS(Measure_62443_3_3[lowest SL-T],Measure_62443_3_3[FR],'SL-T'!D8,Measure_62443_3_3[Requirement Selected (Prefulfilled or Revoked)],"")-1</f>
        <v>0</v>
      </c>
      <c r="P8">
        <f>_xlfn.MINIFS(Measure_62443_3_3[lowest SL-T],Measure_62443_3_3[FR],'SL-T'!D8,Measure_62443_3_3[Requirement Selected (Prefulfilled + Mitigating or Revoked)],"")-1</f>
        <v>0</v>
      </c>
      <c r="Q8">
        <f>_xlfn.MAXIFS(Measure_62443_3_3[lowest SL-T],Measure_62443_3_3[FR],'SL-T'!D8)</f>
        <v>4</v>
      </c>
      <c r="R8">
        <f>_xlfn.MAXIFS(Measure_62443_3_3[lowest SL-T],Measure_62443_3_3[FR],'SL-T'!D8,Measure_62443_3_3[Requirement Selected (Prefulfilled)],"X")</f>
        <v>0</v>
      </c>
      <c r="S8">
        <f>_xlfn.MAXIFS(Measure_62443_3_3[lowest SL-T],Measure_62443_3_3[FR],'SL-T'!D8,Measure_62443_3_3[Requirement Selected (Prefulfilled + Mitigating)],"X")</f>
        <v>0</v>
      </c>
    </row>
    <row r="9" spans="1:19" ht="15" customHeight="1">
      <c r="A9" s="53" t="s">
        <v>51</v>
      </c>
      <c r="B9" s="159">
        <f>MAX(Attacker_Threat_Zone[RDF_Value])</f>
        <v>2</v>
      </c>
      <c r="D9" s="53" t="s">
        <v>51</v>
      </c>
      <c r="E9" s="159">
        <f>IF('SL-T'!O9&gt;=0,'SL-T'!O9,'SL-T'!Q9)</f>
        <v>0</v>
      </c>
      <c r="F9" s="159">
        <f>IF('SL-T'!P9&gt;=0,'SL-T'!P9,'SL-T'!Q9)</f>
        <v>0</v>
      </c>
      <c r="G9" s="164" t="str">
        <f t="shared" si="0"/>
        <v>SL-T NOT Fulfilled</v>
      </c>
      <c r="I9" s="53" t="s">
        <v>51</v>
      </c>
      <c r="J9" s="159">
        <f>SL_CC_Calc[[#This Row],[Max SL-Fulfilled (P)]]</f>
        <v>0</v>
      </c>
      <c r="K9" s="159">
        <f>SL_CC_Calc[[#This Row],[Max SL-Fulfilled (P+M)]]</f>
        <v>0</v>
      </c>
      <c r="O9">
        <f>_xlfn.MINIFS(Measure_62443_3_3[lowest SL-T],Measure_62443_3_3[FR],'SL-T'!D9,Measure_62443_3_3[Requirement Selected (Prefulfilled or Revoked)],"")-1</f>
        <v>0</v>
      </c>
      <c r="P9">
        <f>_xlfn.MINIFS(Measure_62443_3_3[lowest SL-T],Measure_62443_3_3[FR],'SL-T'!D9,Measure_62443_3_3[Requirement Selected (Prefulfilled + Mitigating or Revoked)],"")-1</f>
        <v>0</v>
      </c>
      <c r="Q9">
        <f>_xlfn.MAXIFS(Measure_62443_3_3[lowest SL-T],Measure_62443_3_3[FR],'SL-T'!D9)</f>
        <v>4</v>
      </c>
      <c r="R9">
        <f>_xlfn.MAXIFS(Measure_62443_3_3[lowest SL-T],Measure_62443_3_3[FR],'SL-T'!D9,Measure_62443_3_3[Requirement Selected (Prefulfilled)],"X")</f>
        <v>0</v>
      </c>
      <c r="S9">
        <f>_xlfn.MAXIFS(Measure_62443_3_3[lowest SL-T],Measure_62443_3_3[FR],'SL-T'!D9,Measure_62443_3_3[Requirement Selected (Prefulfilled + Mitigating)],"X")</f>
        <v>0</v>
      </c>
    </row>
    <row r="10" spans="1:19" ht="15" customHeight="1">
      <c r="A10" s="53" t="s">
        <v>52</v>
      </c>
      <c r="B10" s="159">
        <f>MAX(Attacker_Threat_Zone[TRE_Value])</f>
        <v>2</v>
      </c>
      <c r="D10" s="53" t="s">
        <v>52</v>
      </c>
      <c r="E10" s="159">
        <f>IF('SL-T'!O10&gt;=0,'SL-T'!O10,'SL-T'!Q10)</f>
        <v>0</v>
      </c>
      <c r="F10" s="159">
        <f>IF('SL-T'!P10&gt;=0,'SL-T'!P10,'SL-T'!Q10)</f>
        <v>0</v>
      </c>
      <c r="G10" s="164" t="str">
        <f>IF(E10&gt;=B10,"SL-T Fulfilled",IF(F10&gt;=B10,"SL-T Fulfilled after Mitigation","SL-T NOT Fulfilled"))</f>
        <v>SL-T NOT Fulfilled</v>
      </c>
      <c r="I10" s="53" t="s">
        <v>52</v>
      </c>
      <c r="J10" s="159">
        <f>SL_CC_Calc[[#This Row],[Max SL-Fulfilled (P)]]</f>
        <v>0</v>
      </c>
      <c r="K10" s="159">
        <f>SL_CC_Calc[[#This Row],[Max SL-Fulfilled (P+M)]]</f>
        <v>0</v>
      </c>
      <c r="O10">
        <f>_xlfn.MINIFS(Measure_62443_3_3[lowest SL-T],Measure_62443_3_3[FR],'SL-T'!D10,Measure_62443_3_3[Requirement Selected (Prefulfilled or Revoked)],"")-1</f>
        <v>0</v>
      </c>
      <c r="P10">
        <f>_xlfn.MINIFS(Measure_62443_3_3[lowest SL-T],Measure_62443_3_3[FR],'SL-T'!D10,Measure_62443_3_3[Requirement Selected (Prefulfilled + Mitigating or Revoked)],"")-1</f>
        <v>0</v>
      </c>
      <c r="Q10">
        <f>_xlfn.MAXIFS(Measure_62443_3_3[lowest SL-T],Measure_62443_3_3[FR],'SL-T'!D10)</f>
        <v>3</v>
      </c>
      <c r="R10">
        <f>_xlfn.MAXIFS(Measure_62443_3_3[lowest SL-T],Measure_62443_3_3[FR],'SL-T'!D10,Measure_62443_3_3[Requirement Selected (Prefulfilled)],"X")</f>
        <v>0</v>
      </c>
      <c r="S10">
        <f>_xlfn.MAXIFS(Measure_62443_3_3[lowest SL-T],Measure_62443_3_3[FR],'SL-T'!D10,Measure_62443_3_3[Requirement Selected (Prefulfilled + Mitigating)],"X")</f>
        <v>0</v>
      </c>
    </row>
    <row r="11" spans="1:19" ht="15" customHeight="1" thickBot="1">
      <c r="A11" s="53" t="s">
        <v>53</v>
      </c>
      <c r="B11" s="159">
        <f>MAX(Attacker_Threat_Zone[RA_Value])</f>
        <v>2</v>
      </c>
      <c r="D11" s="53" t="s">
        <v>53</v>
      </c>
      <c r="E11" s="159">
        <f>IF('SL-T'!O11&gt;=0,'SL-T'!O11,'SL-T'!Q11)</f>
        <v>0</v>
      </c>
      <c r="F11" s="159">
        <f>IF('SL-T'!P11&gt;=0,'SL-T'!P11,'SL-T'!Q11)</f>
        <v>0</v>
      </c>
      <c r="G11" s="162" t="str">
        <f t="shared" si="0"/>
        <v>SL-T NOT Fulfilled</v>
      </c>
      <c r="I11" s="53" t="s">
        <v>53</v>
      </c>
      <c r="J11" s="159">
        <f>SL_CC_Calc[[#This Row],[Max SL-Fulfilled (P)]]</f>
        <v>0</v>
      </c>
      <c r="K11" s="159">
        <f>SL_CC_Calc[[#This Row],[Max SL-Fulfilled (P+M)]]</f>
        <v>0</v>
      </c>
      <c r="O11">
        <f>_xlfn.MINIFS(Measure_62443_3_3[lowest SL-T],Measure_62443_3_3[FR],'SL-T'!D11,Measure_62443_3_3[Requirement Selected (Prefulfilled or Revoked)],"")-1</f>
        <v>0</v>
      </c>
      <c r="P11">
        <f>_xlfn.MINIFS(Measure_62443_3_3[lowest SL-T],Measure_62443_3_3[FR],'SL-T'!D11,Measure_62443_3_3[Requirement Selected (Prefulfilled + Mitigating or Revoked)],"")-1</f>
        <v>0</v>
      </c>
      <c r="Q11">
        <f>_xlfn.MAXIFS(Measure_62443_3_3[lowest SL-T],Measure_62443_3_3[FR],'SL-T'!D11)</f>
        <v>3</v>
      </c>
      <c r="R11">
        <f>_xlfn.MAXIFS(Measure_62443_3_3[lowest SL-T],Measure_62443_3_3[FR],'SL-T'!D11,Measure_62443_3_3[Requirement Selected (Prefulfilled)],"X")</f>
        <v>0</v>
      </c>
      <c r="S11">
        <f>_xlfn.MAXIFS(Measure_62443_3_3[lowest SL-T],Measure_62443_3_3[FR],'SL-T'!D11,Measure_62443_3_3[Requirement Selected (Prefulfilled + Mitigating)],"X")</f>
        <v>0</v>
      </c>
    </row>
    <row r="12" spans="1:19" ht="15" customHeight="1" thickBot="1">
      <c r="A12" s="53" t="s">
        <v>161</v>
      </c>
      <c r="B12" s="187" t="str">
        <f>"{"&amp;B5&amp;","&amp;B6&amp;","&amp;B7&amp;","&amp;B8&amp;","&amp;B9&amp;","&amp;B10&amp;","&amp;B11&amp;"}"</f>
        <v>{2,2,0,0,2,2,2}</v>
      </c>
      <c r="D12" s="53" t="s">
        <v>162</v>
      </c>
      <c r="E12" s="54" t="str">
        <f>"{"&amp;E5&amp;","&amp;E6&amp;","&amp;E7&amp;","&amp;E8&amp;","&amp;E9&amp;","&amp;E10&amp;","&amp;E11&amp;"}"</f>
        <v>{0,0,0,0,0,0,0}</v>
      </c>
      <c r="F12" s="54" t="str">
        <f>"{"&amp;F5&amp;","&amp;F6&amp;","&amp;F7&amp;","&amp;F8&amp;","&amp;F9&amp;","&amp;F10&amp;","&amp;F11&amp;"}"</f>
        <v>{0,0,0,0,0,0,0}</v>
      </c>
      <c r="G12" s="164"/>
      <c r="I12" s="53" t="s">
        <v>162</v>
      </c>
      <c r="J12" s="54" t="str">
        <f>"{"&amp;J5&amp;","&amp;J6&amp;","&amp;J7&amp;","&amp;J8&amp;","&amp;J9&amp;","&amp;J10&amp;","&amp;J11&amp;"}"</f>
        <v>{0,0,0,0,0,0,0}</v>
      </c>
      <c r="K12" s="54" t="str">
        <f>"{"&amp;K5&amp;","&amp;K6&amp;","&amp;K7&amp;","&amp;K8&amp;","&amp;K9&amp;","&amp;K10&amp;","&amp;K11&amp;"}"</f>
        <v>{0,0,0,0,0,0,0}</v>
      </c>
    </row>
    <row r="13" spans="1:19" ht="15.9" customHeight="1" thickBot="1">
      <c r="A13" s="55" t="s">
        <v>163</v>
      </c>
      <c r="B13" s="57">
        <f>MAX(B5:B11)</f>
        <v>2</v>
      </c>
      <c r="D13" s="55" t="s">
        <v>164</v>
      </c>
      <c r="E13" s="57">
        <f>MIN(E5:E11)</f>
        <v>0</v>
      </c>
      <c r="F13" s="57">
        <f>MIN(F5:F11)</f>
        <v>0</v>
      </c>
      <c r="G13" s="162"/>
      <c r="I13" s="55" t="s">
        <v>164</v>
      </c>
      <c r="J13" s="57">
        <f>MIN(J5:J11)</f>
        <v>0</v>
      </c>
      <c r="K13" s="57">
        <f>MIN(K5:K11)</f>
        <v>0</v>
      </c>
    </row>
    <row r="17" spans="1:2" ht="15" thickBot="1">
      <c r="A17" s="212" t="s">
        <v>165</v>
      </c>
      <c r="B17" s="213"/>
    </row>
    <row r="18" spans="1:2" ht="15" customHeight="1" thickBot="1">
      <c r="A18" s="56" t="s">
        <v>166</v>
      </c>
      <c r="B18" s="58" t="s">
        <v>167</v>
      </c>
    </row>
  </sheetData>
  <mergeCells count="5">
    <mergeCell ref="A17:B17"/>
    <mergeCell ref="A1:N1"/>
    <mergeCell ref="D3:G3"/>
    <mergeCell ref="A3:B4"/>
    <mergeCell ref="I3:K3"/>
  </mergeCells>
  <pageMargins left="0.70866141732283472" right="0.70866141732283472" top="0.78740157480314965" bottom="0.78740157480314965" header="0.31496062992125978" footer="0.31496062992125978"/>
  <pageSetup paperSize="9" scale="91" fitToHeight="0" orientation="landscape"/>
  <headerFooter>
    <oddHeader>&amp;L[company-name]&amp;CSecurity Risk Assessment
Security Level&amp;R[Author]
[Version]</oddHeader>
    <oddFooter>&amp;LEULYNX/RCA/OCORA Security Cluster&amp;C&amp;P/&amp;N&amp;R&amp;D</oddFooter>
  </headerFooter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680B2883-B93F-4E3B-B530-A88039218EB3}">
          <x14:formula1>
            <xm:f>SL!$K$3:$K$7</xm:f>
          </x14:formula1>
          <xm:sqref>B18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BR103"/>
  <sheetViews>
    <sheetView zoomScale="80" zoomScaleNormal="80" workbookViewId="0">
      <pane xSplit="9" ySplit="3" topLeftCell="J4" activePane="bottomRight" state="frozen"/>
      <selection pane="topRight" activeCell="F1" sqref="F1"/>
      <selection pane="bottomLeft" activeCell="A3" sqref="A3"/>
      <selection pane="bottomRight" activeCell="D3" sqref="D3"/>
    </sheetView>
  </sheetViews>
  <sheetFormatPr baseColWidth="10" defaultColWidth="11.44140625" defaultRowHeight="14.4"/>
  <cols>
    <col min="1" max="1" width="23.44140625" customWidth="1"/>
    <col min="3" max="3" width="12.5546875" customWidth="1"/>
    <col min="4" max="4" width="70.88671875" customWidth="1"/>
    <col min="5" max="5" width="5.6640625" customWidth="1"/>
    <col min="6" max="6" width="8.5546875" hidden="1" customWidth="1"/>
    <col min="7" max="7" width="5.6640625" customWidth="1"/>
    <col min="8" max="8" width="7.109375" hidden="1" customWidth="1"/>
    <col min="9" max="10" width="5.6640625" style="134" customWidth="1"/>
    <col min="11" max="11" width="34.6640625" style="134" customWidth="1"/>
    <col min="12" max="56" width="3.6640625" bestFit="1" customWidth="1"/>
    <col min="57" max="70" width="3.6640625" customWidth="1"/>
  </cols>
  <sheetData>
    <row r="1" spans="1:70" ht="34.950000000000003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</row>
    <row r="2" spans="1:70" ht="28.8">
      <c r="A2" s="134"/>
      <c r="D2" s="16" t="s">
        <v>168</v>
      </c>
      <c r="K2" s="31" t="s">
        <v>169</v>
      </c>
    </row>
    <row r="3" spans="1:70" ht="313.5" customHeight="1">
      <c r="A3" s="166" t="s">
        <v>170</v>
      </c>
      <c r="B3" s="167" t="s">
        <v>171</v>
      </c>
      <c r="C3" s="167" t="s">
        <v>172</v>
      </c>
      <c r="D3" s="168" t="s">
        <v>173</v>
      </c>
      <c r="E3" s="165" t="s">
        <v>174</v>
      </c>
      <c r="F3" s="165" t="s">
        <v>175</v>
      </c>
      <c r="G3" s="165" t="s">
        <v>176</v>
      </c>
      <c r="H3" s="165" t="s">
        <v>177</v>
      </c>
      <c r="I3" s="177" t="s">
        <v>54</v>
      </c>
      <c r="J3" s="175" t="s">
        <v>178</v>
      </c>
      <c r="K3" s="176" t="s">
        <v>179</v>
      </c>
      <c r="L3" s="24" t="s">
        <v>80</v>
      </c>
      <c r="M3" s="24" t="s">
        <v>84</v>
      </c>
      <c r="N3" s="24" t="s">
        <v>86</v>
      </c>
      <c r="O3" s="24" t="s">
        <v>88</v>
      </c>
      <c r="P3" s="24" t="s">
        <v>90</v>
      </c>
      <c r="Q3" s="24" t="s">
        <v>92</v>
      </c>
      <c r="R3" s="24" t="s">
        <v>93</v>
      </c>
      <c r="S3" s="24" t="s">
        <v>95</v>
      </c>
      <c r="T3" s="24" t="s">
        <v>98</v>
      </c>
      <c r="U3" s="24" t="s">
        <v>99</v>
      </c>
      <c r="V3" s="24" t="s">
        <v>100</v>
      </c>
      <c r="W3" s="24" t="s">
        <v>101</v>
      </c>
      <c r="X3" s="24" t="s">
        <v>102</v>
      </c>
      <c r="Y3" s="24" t="s">
        <v>103</v>
      </c>
      <c r="Z3" s="24" t="s">
        <v>104</v>
      </c>
      <c r="AA3" s="24" t="s">
        <v>105</v>
      </c>
      <c r="AB3" s="24" t="s">
        <v>106</v>
      </c>
      <c r="AC3" s="24" t="s">
        <v>107</v>
      </c>
      <c r="AD3" s="24" t="s">
        <v>108</v>
      </c>
      <c r="AE3" s="24" t="s">
        <v>109</v>
      </c>
      <c r="AF3" s="24" t="s">
        <v>110</v>
      </c>
      <c r="AG3" s="24" t="s">
        <v>111</v>
      </c>
      <c r="AH3" s="24" t="s">
        <v>112</v>
      </c>
      <c r="AI3" s="24" t="s">
        <v>113</v>
      </c>
      <c r="AJ3" s="24" t="s">
        <v>114</v>
      </c>
      <c r="AK3" s="24" t="s">
        <v>115</v>
      </c>
      <c r="AL3" s="24" t="s">
        <v>116</v>
      </c>
      <c r="AM3" s="24" t="s">
        <v>117</v>
      </c>
      <c r="AN3" s="24" t="s">
        <v>118</v>
      </c>
      <c r="AO3" s="24" t="s">
        <v>119</v>
      </c>
      <c r="AP3" s="24" t="s">
        <v>120</v>
      </c>
      <c r="AQ3" s="24" t="s">
        <v>121</v>
      </c>
      <c r="AR3" s="24" t="s">
        <v>122</v>
      </c>
      <c r="AS3" s="24" t="s">
        <v>123</v>
      </c>
      <c r="AT3" s="24" t="s">
        <v>124</v>
      </c>
      <c r="AU3" s="24" t="s">
        <v>125</v>
      </c>
      <c r="AV3" s="24" t="s">
        <v>126</v>
      </c>
      <c r="AW3" s="24" t="s">
        <v>127</v>
      </c>
      <c r="AX3" s="24" t="s">
        <v>128</v>
      </c>
      <c r="AY3" s="24" t="s">
        <v>129</v>
      </c>
      <c r="AZ3" s="24" t="s">
        <v>130</v>
      </c>
      <c r="BA3" s="24" t="s">
        <v>131</v>
      </c>
      <c r="BB3" s="24" t="s">
        <v>132</v>
      </c>
      <c r="BC3" s="24" t="s">
        <v>133</v>
      </c>
      <c r="BD3" s="24" t="s">
        <v>134</v>
      </c>
      <c r="BE3" s="24" t="s">
        <v>135</v>
      </c>
      <c r="BF3" s="24" t="s">
        <v>136</v>
      </c>
      <c r="BG3" s="24" t="s">
        <v>137</v>
      </c>
      <c r="BH3" s="24" t="s">
        <v>138</v>
      </c>
      <c r="BI3" s="24" t="s">
        <v>139</v>
      </c>
      <c r="BJ3" s="24" t="s">
        <v>140</v>
      </c>
      <c r="BK3" s="24" t="s">
        <v>141</v>
      </c>
      <c r="BL3" s="24" t="s">
        <v>142</v>
      </c>
      <c r="BM3" s="24" t="s">
        <v>143</v>
      </c>
      <c r="BN3" s="24" t="s">
        <v>144</v>
      </c>
      <c r="BO3" s="24" t="s">
        <v>145</v>
      </c>
      <c r="BP3" s="24" t="s">
        <v>146</v>
      </c>
      <c r="BQ3" s="24" t="s">
        <v>147</v>
      </c>
      <c r="BR3" s="24" t="s">
        <v>148</v>
      </c>
    </row>
    <row r="4" spans="1:70">
      <c r="A4" s="169" t="s">
        <v>180</v>
      </c>
      <c r="B4" s="169" t="s">
        <v>47</v>
      </c>
      <c r="C4" s="169">
        <v>1</v>
      </c>
      <c r="D4" s="170" t="s">
        <v>591</v>
      </c>
      <c r="E4" s="171" t="str">
        <f>IF(COUNTIF(Measure_62443_3_3[[#This Row],[G 0.13 Interception of Compromising Interference Signals]:[IND.3.2.3 Insufficient regulations for the use of OT remote maintenance access]],"P")&gt;0,"X","")</f>
        <v/>
      </c>
      <c r="F4" s="171" t="str">
        <f>IF(OR(Measure_62443_3_3[[#This Row],[Requirement Selected (Prefulfilled)]]="X",Measure_62443_3_3[[#This Row],[Relevance revoked]]="Yes"),"X","")</f>
        <v/>
      </c>
      <c r="G4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" s="171" t="str">
        <f>IF(OR(Measure_62443_3_3[[#This Row],[Requirement Selected (Prefulfilled + Mitigating)]]="X",Measure_62443_3_3[[#This Row],[Relevance revoked]]="Yes"),"X","")</f>
        <v/>
      </c>
      <c r="I4" s="172" t="str">
        <f>IF(VLOOKUP(Measure_62443_3_3[[#This Row],[FR]],'SL-T'!$A$5:$B$11,2,FALSE)&gt;=Measure_62443_3_3[[#This Row],[lowest SL-T]],"X","")</f>
        <v>X</v>
      </c>
      <c r="J4" s="173" t="s">
        <v>91</v>
      </c>
      <c r="K4" s="174"/>
      <c r="L4" t="s">
        <v>9</v>
      </c>
      <c r="M4" t="s">
        <v>9</v>
      </c>
      <c r="N4" t="s">
        <v>9</v>
      </c>
      <c r="O4" t="s">
        <v>9</v>
      </c>
      <c r="P4" t="s">
        <v>9</v>
      </c>
      <c r="Q4" t="s">
        <v>9</v>
      </c>
      <c r="R4" t="s">
        <v>9</v>
      </c>
      <c r="S4" t="s">
        <v>9</v>
      </c>
      <c r="T4" t="s">
        <v>9</v>
      </c>
      <c r="U4" t="s">
        <v>9</v>
      </c>
      <c r="V4" t="s">
        <v>9</v>
      </c>
      <c r="W4" t="s">
        <v>9</v>
      </c>
      <c r="X4" t="s">
        <v>9</v>
      </c>
      <c r="Y4" t="s">
        <v>9</v>
      </c>
      <c r="Z4" t="s">
        <v>9</v>
      </c>
      <c r="AA4" t="s">
        <v>9</v>
      </c>
      <c r="AB4" t="s">
        <v>9</v>
      </c>
      <c r="AC4" t="s">
        <v>9</v>
      </c>
      <c r="AD4" t="s">
        <v>9</v>
      </c>
      <c r="AE4" t="s">
        <v>9</v>
      </c>
      <c r="AF4" t="s">
        <v>9</v>
      </c>
      <c r="AG4" t="s">
        <v>9</v>
      </c>
      <c r="AH4" t="s">
        <v>9</v>
      </c>
      <c r="AI4" t="s">
        <v>9</v>
      </c>
      <c r="AJ4" t="s">
        <v>9</v>
      </c>
      <c r="AK4" t="s">
        <v>9</v>
      </c>
      <c r="AL4" t="s">
        <v>9</v>
      </c>
      <c r="AM4" t="s">
        <v>9</v>
      </c>
      <c r="AN4" t="s">
        <v>9</v>
      </c>
      <c r="AO4" t="s">
        <v>9</v>
      </c>
      <c r="AP4" t="s">
        <v>9</v>
      </c>
      <c r="AQ4" t="s">
        <v>9</v>
      </c>
      <c r="AR4" t="s">
        <v>9</v>
      </c>
      <c r="AS4" t="s">
        <v>9</v>
      </c>
      <c r="AT4" t="s">
        <v>9</v>
      </c>
      <c r="AU4" t="s">
        <v>9</v>
      </c>
      <c r="AV4" t="s">
        <v>9</v>
      </c>
      <c r="AW4" t="s">
        <v>9</v>
      </c>
      <c r="AX4" t="s">
        <v>9</v>
      </c>
      <c r="AY4" t="s">
        <v>9</v>
      </c>
      <c r="AZ4" t="s">
        <v>9</v>
      </c>
      <c r="BA4" t="s">
        <v>9</v>
      </c>
      <c r="BB4" t="s">
        <v>9</v>
      </c>
      <c r="BC4" t="s">
        <v>9</v>
      </c>
      <c r="BD4" t="s">
        <v>9</v>
      </c>
      <c r="BE4" t="s">
        <v>9</v>
      </c>
      <c r="BF4" t="s">
        <v>9</v>
      </c>
      <c r="BG4" t="s">
        <v>9</v>
      </c>
      <c r="BH4" t="s">
        <v>9</v>
      </c>
      <c r="BI4" t="s">
        <v>9</v>
      </c>
      <c r="BJ4" t="s">
        <v>9</v>
      </c>
      <c r="BK4" t="s">
        <v>9</v>
      </c>
      <c r="BL4" t="s">
        <v>9</v>
      </c>
      <c r="BM4" t="s">
        <v>9</v>
      </c>
      <c r="BN4" t="s">
        <v>9</v>
      </c>
      <c r="BO4" t="s">
        <v>9</v>
      </c>
      <c r="BP4" t="s">
        <v>9</v>
      </c>
      <c r="BQ4" t="s">
        <v>9</v>
      </c>
      <c r="BR4" t="s">
        <v>9</v>
      </c>
    </row>
    <row r="5" spans="1:70">
      <c r="A5" s="169" t="s">
        <v>181</v>
      </c>
      <c r="B5" s="169" t="s">
        <v>47</v>
      </c>
      <c r="C5" s="169">
        <v>2</v>
      </c>
      <c r="D5" s="170" t="s">
        <v>591</v>
      </c>
      <c r="E5" s="171" t="str">
        <f>IF(COUNTIF(Measure_62443_3_3[[#This Row],[G 0.13 Interception of Compromising Interference Signals]:[IND.3.2.3 Insufficient regulations for the use of OT remote maintenance access]],"P")&gt;0,"X","")</f>
        <v/>
      </c>
      <c r="F5" s="171" t="str">
        <f>IF(OR(Measure_62443_3_3[[#This Row],[Requirement Selected (Prefulfilled)]]="X",Measure_62443_3_3[[#This Row],[Relevance revoked]]="Yes"),"X","")</f>
        <v/>
      </c>
      <c r="G5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" s="171" t="str">
        <f>IF(OR(Measure_62443_3_3[[#This Row],[Requirement Selected (Prefulfilled + Mitigating)]]="X",Measure_62443_3_3[[#This Row],[Relevance revoked]]="Yes"),"X","")</f>
        <v/>
      </c>
      <c r="I5" s="172" t="str">
        <f>IF(VLOOKUP(Measure_62443_3_3[[#This Row],[FR]],'SL-T'!$A$5:$B$11,2,FALSE)&gt;=Measure_62443_3_3[[#This Row],[lowest SL-T]],"X","")</f>
        <v>X</v>
      </c>
      <c r="J5" s="173" t="s">
        <v>91</v>
      </c>
      <c r="K5" s="174"/>
      <c r="L5" t="s">
        <v>9</v>
      </c>
      <c r="M5" t="s">
        <v>9</v>
      </c>
      <c r="N5" t="s">
        <v>9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V5" t="s">
        <v>9</v>
      </c>
      <c r="W5" t="s">
        <v>9</v>
      </c>
      <c r="X5" t="s">
        <v>9</v>
      </c>
      <c r="Y5" t="s">
        <v>9</v>
      </c>
      <c r="Z5" t="s">
        <v>9</v>
      </c>
      <c r="AA5" t="s">
        <v>9</v>
      </c>
      <c r="AB5" t="s">
        <v>9</v>
      </c>
      <c r="AC5" t="s">
        <v>9</v>
      </c>
      <c r="AD5" t="s">
        <v>9</v>
      </c>
      <c r="AE5" t="s">
        <v>9</v>
      </c>
      <c r="AF5" t="s">
        <v>9</v>
      </c>
      <c r="AG5" t="s">
        <v>9</v>
      </c>
      <c r="AH5" t="s">
        <v>9</v>
      </c>
      <c r="AI5" t="s">
        <v>9</v>
      </c>
      <c r="AJ5" t="s">
        <v>9</v>
      </c>
      <c r="AK5" t="s">
        <v>9</v>
      </c>
      <c r="AL5" t="s">
        <v>9</v>
      </c>
      <c r="AM5" t="s">
        <v>9</v>
      </c>
      <c r="AN5" t="s">
        <v>9</v>
      </c>
      <c r="AO5" t="s">
        <v>9</v>
      </c>
      <c r="AP5" t="s">
        <v>9</v>
      </c>
      <c r="AQ5" t="s">
        <v>9</v>
      </c>
      <c r="AR5" t="s">
        <v>9</v>
      </c>
      <c r="AS5" t="s">
        <v>9</v>
      </c>
      <c r="AT5" t="s">
        <v>9</v>
      </c>
      <c r="AU5" t="s">
        <v>9</v>
      </c>
      <c r="AV5" t="s">
        <v>9</v>
      </c>
      <c r="AW5" t="s">
        <v>9</v>
      </c>
      <c r="AX5" t="s">
        <v>9</v>
      </c>
      <c r="AY5" t="s">
        <v>9</v>
      </c>
      <c r="AZ5" t="s">
        <v>9</v>
      </c>
      <c r="BA5" t="s">
        <v>9</v>
      </c>
      <c r="BB5" t="s">
        <v>9</v>
      </c>
      <c r="BC5" t="s">
        <v>9</v>
      </c>
      <c r="BD5" t="s">
        <v>9</v>
      </c>
      <c r="BE5" t="s">
        <v>9</v>
      </c>
    </row>
    <row r="6" spans="1:70" hidden="1">
      <c r="A6" s="169" t="s">
        <v>182</v>
      </c>
      <c r="B6" s="169" t="s">
        <v>47</v>
      </c>
      <c r="C6" s="169">
        <v>3</v>
      </c>
      <c r="D6" s="170" t="s">
        <v>591</v>
      </c>
      <c r="E6" s="171" t="str">
        <f>IF(COUNTIF(Measure_62443_3_3[[#This Row],[G 0.13 Interception of Compromising Interference Signals]:[IND.3.2.3 Insufficient regulations for the use of OT remote maintenance access]],"P")&gt;0,"X","")</f>
        <v/>
      </c>
      <c r="F6" s="171" t="str">
        <f>IF(OR(Measure_62443_3_3[[#This Row],[Requirement Selected (Prefulfilled)]]="X",Measure_62443_3_3[[#This Row],[Relevance revoked]]="Yes"),"X","")</f>
        <v/>
      </c>
      <c r="G6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" s="171" t="str">
        <f>IF(OR(Measure_62443_3_3[[#This Row],[Requirement Selected (Prefulfilled + Mitigating)]]="X",Measure_62443_3_3[[#This Row],[Relevance revoked]]="Yes"),"X","")</f>
        <v/>
      </c>
      <c r="I6" s="172" t="str">
        <f>IF(VLOOKUP(Measure_62443_3_3[[#This Row],[FR]],'SL-T'!$A$5:$B$11,2,FALSE)&gt;=Measure_62443_3_3[[#This Row],[lowest SL-T]],"X","")</f>
        <v/>
      </c>
      <c r="J6" s="173" t="s">
        <v>91</v>
      </c>
      <c r="K6" s="174"/>
      <c r="L6" t="s">
        <v>9</v>
      </c>
      <c r="M6" t="s">
        <v>9</v>
      </c>
      <c r="N6" t="s">
        <v>9</v>
      </c>
      <c r="O6" t="s">
        <v>9</v>
      </c>
      <c r="P6" t="s">
        <v>9</v>
      </c>
      <c r="Q6" t="s">
        <v>9</v>
      </c>
      <c r="R6" t="s">
        <v>9</v>
      </c>
      <c r="S6" t="s">
        <v>9</v>
      </c>
      <c r="T6" t="s">
        <v>9</v>
      </c>
      <c r="U6" t="s">
        <v>9</v>
      </c>
      <c r="V6" t="s">
        <v>9</v>
      </c>
      <c r="W6" t="s">
        <v>9</v>
      </c>
      <c r="X6" t="s">
        <v>9</v>
      </c>
      <c r="Y6" t="s">
        <v>9</v>
      </c>
      <c r="Z6" t="s">
        <v>9</v>
      </c>
      <c r="AA6" t="s">
        <v>9</v>
      </c>
      <c r="AB6" t="s">
        <v>9</v>
      </c>
      <c r="AC6" t="s">
        <v>9</v>
      </c>
      <c r="AD6" t="s">
        <v>9</v>
      </c>
      <c r="AE6" t="s">
        <v>9</v>
      </c>
      <c r="AF6" t="s">
        <v>9</v>
      </c>
      <c r="AG6" t="s">
        <v>9</v>
      </c>
      <c r="AH6" t="s">
        <v>9</v>
      </c>
      <c r="AI6" t="s">
        <v>9</v>
      </c>
      <c r="AJ6" t="s">
        <v>9</v>
      </c>
      <c r="AK6" t="s">
        <v>9</v>
      </c>
      <c r="AL6" t="s">
        <v>9</v>
      </c>
      <c r="AM6" t="s">
        <v>9</v>
      </c>
      <c r="AN6" t="s">
        <v>9</v>
      </c>
      <c r="AO6" t="s">
        <v>9</v>
      </c>
      <c r="AP6" t="s">
        <v>9</v>
      </c>
      <c r="AQ6" t="s">
        <v>9</v>
      </c>
      <c r="AR6" t="s">
        <v>9</v>
      </c>
      <c r="AS6" t="s">
        <v>9</v>
      </c>
      <c r="AT6" t="s">
        <v>9</v>
      </c>
      <c r="AU6" t="s">
        <v>9</v>
      </c>
      <c r="AV6" t="s">
        <v>9</v>
      </c>
      <c r="AW6" t="s">
        <v>9</v>
      </c>
      <c r="AX6" t="s">
        <v>9</v>
      </c>
      <c r="AY6" t="s">
        <v>9</v>
      </c>
      <c r="AZ6" t="s">
        <v>9</v>
      </c>
      <c r="BA6" t="s">
        <v>9</v>
      </c>
      <c r="BB6" t="s">
        <v>9</v>
      </c>
      <c r="BC6" t="s">
        <v>9</v>
      </c>
      <c r="BD6" t="s">
        <v>9</v>
      </c>
      <c r="BE6" t="s">
        <v>9</v>
      </c>
    </row>
    <row r="7" spans="1:70" hidden="1">
      <c r="A7" s="169" t="s">
        <v>183</v>
      </c>
      <c r="B7" s="169" t="s">
        <v>47</v>
      </c>
      <c r="C7" s="169">
        <v>4</v>
      </c>
      <c r="D7" s="170" t="s">
        <v>591</v>
      </c>
      <c r="E7" s="170" t="str">
        <f>IF(COUNTIF(Measure_62443_3_3[[#This Row],[G 0.13 Interception of Compromising Interference Signals]:[IND.3.2.3 Insufficient regulations for the use of OT remote maintenance access]],"P")&gt;0,"X","")</f>
        <v/>
      </c>
      <c r="F7" s="170" t="str">
        <f>IF(OR(Measure_62443_3_3[[#This Row],[Requirement Selected (Prefulfilled)]]="X",Measure_62443_3_3[[#This Row],[Relevance revoked]]="Yes"),"X","")</f>
        <v/>
      </c>
      <c r="G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" s="170" t="str">
        <f>IF(OR(Measure_62443_3_3[[#This Row],[Requirement Selected (Prefulfilled + Mitigating)]]="X",Measure_62443_3_3[[#This Row],[Relevance revoked]]="Yes"),"X","")</f>
        <v/>
      </c>
      <c r="I7" s="172" t="str">
        <f>IF(VLOOKUP(Measure_62443_3_3[[#This Row],[FR]],'SL-T'!$A$5:$B$11,2,FALSE)&gt;=Measure_62443_3_3[[#This Row],[lowest SL-T]],"X","")</f>
        <v/>
      </c>
      <c r="J7" s="173" t="s">
        <v>91</v>
      </c>
      <c r="K7" s="174"/>
      <c r="L7" t="s">
        <v>9</v>
      </c>
      <c r="M7" t="s">
        <v>9</v>
      </c>
      <c r="N7" t="s">
        <v>9</v>
      </c>
      <c r="O7" t="s">
        <v>9</v>
      </c>
      <c r="P7" t="s">
        <v>9</v>
      </c>
      <c r="Q7" t="s">
        <v>9</v>
      </c>
      <c r="R7" t="s">
        <v>9</v>
      </c>
      <c r="S7" t="s">
        <v>9</v>
      </c>
      <c r="T7" t="s">
        <v>9</v>
      </c>
      <c r="U7" t="s">
        <v>9</v>
      </c>
      <c r="V7" t="s">
        <v>9</v>
      </c>
      <c r="W7" t="s">
        <v>9</v>
      </c>
      <c r="X7" t="s">
        <v>9</v>
      </c>
      <c r="Y7" t="s">
        <v>9</v>
      </c>
      <c r="Z7" t="s">
        <v>9</v>
      </c>
      <c r="AA7" t="s">
        <v>9</v>
      </c>
      <c r="AB7" t="s">
        <v>9</v>
      </c>
      <c r="AC7" t="s">
        <v>9</v>
      </c>
      <c r="AD7" t="s">
        <v>9</v>
      </c>
      <c r="AE7" t="s">
        <v>9</v>
      </c>
      <c r="AF7" t="s">
        <v>9</v>
      </c>
      <c r="AG7" t="s">
        <v>9</v>
      </c>
      <c r="AH7" t="s">
        <v>9</v>
      </c>
      <c r="AI7" t="s">
        <v>9</v>
      </c>
      <c r="AJ7" t="s">
        <v>9</v>
      </c>
      <c r="AK7" t="s">
        <v>9</v>
      </c>
      <c r="AL7" t="s">
        <v>9</v>
      </c>
      <c r="AM7" t="s">
        <v>9</v>
      </c>
      <c r="AN7" t="s">
        <v>9</v>
      </c>
      <c r="AO7" t="s">
        <v>9</v>
      </c>
      <c r="AP7" t="s">
        <v>9</v>
      </c>
      <c r="AQ7" t="s">
        <v>9</v>
      </c>
      <c r="AR7" t="s">
        <v>9</v>
      </c>
      <c r="AS7" t="s">
        <v>9</v>
      </c>
      <c r="AT7" t="s">
        <v>9</v>
      </c>
      <c r="AU7" t="s">
        <v>9</v>
      </c>
      <c r="AV7" t="s">
        <v>9</v>
      </c>
      <c r="AW7" t="s">
        <v>9</v>
      </c>
      <c r="AX7" t="s">
        <v>9</v>
      </c>
      <c r="AY7" t="s">
        <v>9</v>
      </c>
      <c r="AZ7" t="s">
        <v>9</v>
      </c>
      <c r="BA7" t="s">
        <v>9</v>
      </c>
      <c r="BB7" t="s">
        <v>9</v>
      </c>
      <c r="BC7" t="s">
        <v>9</v>
      </c>
      <c r="BD7" t="s">
        <v>9</v>
      </c>
      <c r="BE7" t="s">
        <v>9</v>
      </c>
    </row>
    <row r="8" spans="1:70">
      <c r="A8" s="169" t="s">
        <v>184</v>
      </c>
      <c r="B8" s="169" t="s">
        <v>47</v>
      </c>
      <c r="C8" s="169">
        <v>2</v>
      </c>
      <c r="D8" s="170" t="s">
        <v>591</v>
      </c>
      <c r="E8" s="171" t="str">
        <f>IF(COUNTIF(Measure_62443_3_3[[#This Row],[G 0.13 Interception of Compromising Interference Signals]:[IND.3.2.3 Insufficient regulations for the use of OT remote maintenance access]],"P")&gt;0,"X","")</f>
        <v/>
      </c>
      <c r="F8" s="171" t="str">
        <f>IF(OR(Measure_62443_3_3[[#This Row],[Requirement Selected (Prefulfilled)]]="X",Measure_62443_3_3[[#This Row],[Relevance revoked]]="Yes"),"X","")</f>
        <v/>
      </c>
      <c r="G8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" s="171" t="str">
        <f>IF(OR(Measure_62443_3_3[[#This Row],[Requirement Selected (Prefulfilled + Mitigating)]]="X",Measure_62443_3_3[[#This Row],[Relevance revoked]]="Yes"),"X","")</f>
        <v/>
      </c>
      <c r="I8" s="172" t="str">
        <f>IF(VLOOKUP(Measure_62443_3_3[[#This Row],[FR]],'SL-T'!$A$5:$B$11,2,FALSE)&gt;=Measure_62443_3_3[[#This Row],[lowest SL-T]],"X","")</f>
        <v>X</v>
      </c>
      <c r="J8" s="173" t="s">
        <v>91</v>
      </c>
      <c r="K8" s="174"/>
      <c r="L8" t="s">
        <v>9</v>
      </c>
      <c r="M8" t="s">
        <v>9</v>
      </c>
      <c r="N8" t="s">
        <v>9</v>
      </c>
      <c r="O8" t="s">
        <v>9</v>
      </c>
      <c r="P8" t="s">
        <v>9</v>
      </c>
      <c r="Q8" t="s">
        <v>9</v>
      </c>
      <c r="R8" t="s">
        <v>9</v>
      </c>
      <c r="S8" t="s">
        <v>9</v>
      </c>
      <c r="T8" t="s">
        <v>9</v>
      </c>
      <c r="U8" t="s">
        <v>9</v>
      </c>
      <c r="V8" t="s">
        <v>9</v>
      </c>
      <c r="W8" t="s">
        <v>9</v>
      </c>
      <c r="X8" t="s">
        <v>9</v>
      </c>
      <c r="Y8" t="s">
        <v>9</v>
      </c>
      <c r="Z8" t="s">
        <v>9</v>
      </c>
      <c r="AA8" t="s">
        <v>9</v>
      </c>
      <c r="AB8" t="s">
        <v>9</v>
      </c>
      <c r="AC8" t="s">
        <v>9</v>
      </c>
      <c r="AD8" t="s">
        <v>9</v>
      </c>
      <c r="AE8" t="s">
        <v>9</v>
      </c>
      <c r="AF8" t="s">
        <v>9</v>
      </c>
      <c r="AG8" t="s">
        <v>9</v>
      </c>
      <c r="AH8" t="s">
        <v>9</v>
      </c>
      <c r="AI8" t="s">
        <v>9</v>
      </c>
      <c r="AJ8" t="s">
        <v>9</v>
      </c>
      <c r="AK8" t="s">
        <v>9</v>
      </c>
      <c r="AL8" t="s">
        <v>9</v>
      </c>
      <c r="AM8" t="s">
        <v>9</v>
      </c>
      <c r="AN8" t="s">
        <v>9</v>
      </c>
      <c r="AO8" t="s">
        <v>9</v>
      </c>
      <c r="AP8" t="s">
        <v>9</v>
      </c>
      <c r="AQ8" t="s">
        <v>9</v>
      </c>
      <c r="AR8" t="s">
        <v>9</v>
      </c>
      <c r="AS8" t="s">
        <v>9</v>
      </c>
      <c r="AT8" t="s">
        <v>9</v>
      </c>
      <c r="AU8" t="s">
        <v>9</v>
      </c>
      <c r="AV8" t="s">
        <v>9</v>
      </c>
      <c r="AW8" t="s">
        <v>9</v>
      </c>
      <c r="AX8" t="s">
        <v>9</v>
      </c>
      <c r="AY8" t="s">
        <v>9</v>
      </c>
      <c r="AZ8" t="s">
        <v>9</v>
      </c>
      <c r="BA8" t="s">
        <v>9</v>
      </c>
      <c r="BB8" t="s">
        <v>9</v>
      </c>
      <c r="BC8" t="s">
        <v>9</v>
      </c>
      <c r="BD8" t="s">
        <v>9</v>
      </c>
      <c r="BE8" t="s">
        <v>9</v>
      </c>
    </row>
    <row r="9" spans="1:70" hidden="1">
      <c r="A9" s="169" t="s">
        <v>185</v>
      </c>
      <c r="B9" s="169" t="s">
        <v>47</v>
      </c>
      <c r="C9" s="169">
        <v>3</v>
      </c>
      <c r="D9" s="170" t="s">
        <v>591</v>
      </c>
      <c r="E9" s="171" t="str">
        <f>IF(COUNTIF(Measure_62443_3_3[[#This Row],[G 0.13 Interception of Compromising Interference Signals]:[IND.3.2.3 Insufficient regulations for the use of OT remote maintenance access]],"P")&gt;0,"X","")</f>
        <v/>
      </c>
      <c r="F9" s="171" t="str">
        <f>IF(OR(Measure_62443_3_3[[#This Row],[Requirement Selected (Prefulfilled)]]="X",Measure_62443_3_3[[#This Row],[Relevance revoked]]="Yes"),"X","")</f>
        <v/>
      </c>
      <c r="G9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" s="171" t="str">
        <f>IF(OR(Measure_62443_3_3[[#This Row],[Requirement Selected (Prefulfilled + Mitigating)]]="X",Measure_62443_3_3[[#This Row],[Relevance revoked]]="Yes"),"X","")</f>
        <v/>
      </c>
      <c r="I9" s="172" t="str">
        <f>IF(VLOOKUP(Measure_62443_3_3[[#This Row],[FR]],'SL-T'!$A$5:$B$11,2,FALSE)&gt;=Measure_62443_3_3[[#This Row],[lowest SL-T]],"X","")</f>
        <v/>
      </c>
      <c r="J9" s="173" t="s">
        <v>91</v>
      </c>
      <c r="K9" s="174"/>
      <c r="L9" t="s">
        <v>9</v>
      </c>
      <c r="M9" t="s">
        <v>9</v>
      </c>
      <c r="N9" t="s">
        <v>9</v>
      </c>
      <c r="O9" t="s">
        <v>9</v>
      </c>
      <c r="P9" t="s">
        <v>9</v>
      </c>
      <c r="Q9" t="s">
        <v>9</v>
      </c>
      <c r="R9" t="s">
        <v>9</v>
      </c>
      <c r="S9" t="s">
        <v>9</v>
      </c>
      <c r="T9" t="s">
        <v>9</v>
      </c>
      <c r="U9" t="s">
        <v>9</v>
      </c>
      <c r="V9" t="s">
        <v>9</v>
      </c>
      <c r="W9" t="s">
        <v>9</v>
      </c>
      <c r="X9" t="s">
        <v>9</v>
      </c>
      <c r="Y9" t="s">
        <v>9</v>
      </c>
      <c r="Z9" t="s">
        <v>9</v>
      </c>
      <c r="AA9" t="s">
        <v>9</v>
      </c>
      <c r="AB9" t="s">
        <v>9</v>
      </c>
      <c r="AC9" t="s">
        <v>9</v>
      </c>
      <c r="AD9" t="s">
        <v>9</v>
      </c>
      <c r="AE9" t="s">
        <v>9</v>
      </c>
      <c r="AF9" t="s">
        <v>9</v>
      </c>
      <c r="AG9" t="s">
        <v>9</v>
      </c>
      <c r="AH9" t="s">
        <v>9</v>
      </c>
      <c r="AI9" t="s">
        <v>9</v>
      </c>
      <c r="AJ9" t="s">
        <v>9</v>
      </c>
      <c r="AK9" t="s">
        <v>9</v>
      </c>
      <c r="AL9" t="s">
        <v>9</v>
      </c>
      <c r="AM9" t="s">
        <v>9</v>
      </c>
      <c r="AN9" t="s">
        <v>9</v>
      </c>
      <c r="AO9" t="s">
        <v>9</v>
      </c>
      <c r="AP9" t="s">
        <v>9</v>
      </c>
      <c r="AQ9" t="s">
        <v>9</v>
      </c>
      <c r="AR9" t="s">
        <v>9</v>
      </c>
      <c r="AS9" t="s">
        <v>9</v>
      </c>
      <c r="AT9" t="s">
        <v>9</v>
      </c>
      <c r="AU9" t="s">
        <v>9</v>
      </c>
      <c r="AV9" t="s">
        <v>9</v>
      </c>
      <c r="AW9" t="s">
        <v>9</v>
      </c>
      <c r="AX9" t="s">
        <v>9</v>
      </c>
      <c r="AY9" t="s">
        <v>9</v>
      </c>
      <c r="AZ9" t="s">
        <v>9</v>
      </c>
      <c r="BA9" t="s">
        <v>9</v>
      </c>
      <c r="BB9" t="s">
        <v>9</v>
      </c>
      <c r="BC9" t="s">
        <v>9</v>
      </c>
      <c r="BD9" t="s">
        <v>9</v>
      </c>
      <c r="BE9" t="s">
        <v>9</v>
      </c>
    </row>
    <row r="10" spans="1:70">
      <c r="A10" s="169" t="s">
        <v>186</v>
      </c>
      <c r="B10" s="169" t="s">
        <v>47</v>
      </c>
      <c r="C10" s="169">
        <v>1</v>
      </c>
      <c r="D10" s="170" t="s">
        <v>591</v>
      </c>
      <c r="E10" s="171" t="str">
        <f>IF(COUNTIF(Measure_62443_3_3[[#This Row],[G 0.13 Interception of Compromising Interference Signals]:[IND.3.2.3 Insufficient regulations for the use of OT remote maintenance access]],"P")&gt;0,"X","")</f>
        <v/>
      </c>
      <c r="F10" s="171" t="str">
        <f>IF(OR(Measure_62443_3_3[[#This Row],[Requirement Selected (Prefulfilled)]]="X",Measure_62443_3_3[[#This Row],[Relevance revoked]]="Yes"),"X","")</f>
        <v/>
      </c>
      <c r="G10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0" s="171" t="str">
        <f>IF(OR(Measure_62443_3_3[[#This Row],[Requirement Selected (Prefulfilled + Mitigating)]]="X",Measure_62443_3_3[[#This Row],[Relevance revoked]]="Yes"),"X","")</f>
        <v/>
      </c>
      <c r="I10" s="172" t="str">
        <f>IF(VLOOKUP(Measure_62443_3_3[[#This Row],[FR]],'SL-T'!$A$5:$B$11,2,FALSE)&gt;=Measure_62443_3_3[[#This Row],[lowest SL-T]],"X","")</f>
        <v>X</v>
      </c>
      <c r="J10" s="173" t="s">
        <v>91</v>
      </c>
      <c r="K10" s="174"/>
      <c r="L10" t="s">
        <v>9</v>
      </c>
      <c r="M10" t="s">
        <v>9</v>
      </c>
      <c r="N10" t="s">
        <v>9</v>
      </c>
      <c r="O10" t="s">
        <v>9</v>
      </c>
      <c r="P10" t="s">
        <v>9</v>
      </c>
      <c r="Q10" t="s">
        <v>9</v>
      </c>
      <c r="R10" t="s">
        <v>9</v>
      </c>
      <c r="S10" t="s">
        <v>9</v>
      </c>
      <c r="T10" t="s">
        <v>9</v>
      </c>
      <c r="U10" t="s">
        <v>9</v>
      </c>
      <c r="V10" t="s">
        <v>9</v>
      </c>
      <c r="W10" t="s">
        <v>9</v>
      </c>
      <c r="X10" t="s">
        <v>9</v>
      </c>
      <c r="Y10" t="s">
        <v>9</v>
      </c>
      <c r="Z10" t="s">
        <v>9</v>
      </c>
      <c r="AA10" t="s">
        <v>9</v>
      </c>
      <c r="AB10" t="s">
        <v>9</v>
      </c>
      <c r="AC10" t="s">
        <v>9</v>
      </c>
      <c r="AD10" t="s">
        <v>9</v>
      </c>
      <c r="AE10" t="s">
        <v>9</v>
      </c>
      <c r="AF10" t="s">
        <v>9</v>
      </c>
      <c r="AG10" t="s">
        <v>9</v>
      </c>
      <c r="AH10" t="s">
        <v>9</v>
      </c>
      <c r="AI10" t="s">
        <v>9</v>
      </c>
      <c r="AJ10" t="s">
        <v>9</v>
      </c>
      <c r="AK10" t="s">
        <v>9</v>
      </c>
      <c r="AL10" t="s">
        <v>9</v>
      </c>
      <c r="AM10" t="s">
        <v>9</v>
      </c>
      <c r="AN10" t="s">
        <v>9</v>
      </c>
      <c r="AO10" t="s">
        <v>9</v>
      </c>
      <c r="AP10" t="s">
        <v>9</v>
      </c>
      <c r="AQ10" t="s">
        <v>9</v>
      </c>
      <c r="AR10" t="s">
        <v>9</v>
      </c>
      <c r="AS10" t="s">
        <v>9</v>
      </c>
      <c r="AT10" t="s">
        <v>9</v>
      </c>
      <c r="AU10" t="s">
        <v>9</v>
      </c>
      <c r="AV10" t="s">
        <v>9</v>
      </c>
      <c r="AW10" t="s">
        <v>9</v>
      </c>
      <c r="AX10" t="s">
        <v>9</v>
      </c>
      <c r="AY10" t="s">
        <v>9</v>
      </c>
      <c r="AZ10" t="s">
        <v>9</v>
      </c>
      <c r="BA10" t="s">
        <v>9</v>
      </c>
      <c r="BB10" t="s">
        <v>9</v>
      </c>
      <c r="BC10" t="s">
        <v>9</v>
      </c>
      <c r="BD10" t="s">
        <v>9</v>
      </c>
      <c r="BE10" t="s">
        <v>9</v>
      </c>
      <c r="BF10" t="s">
        <v>9</v>
      </c>
      <c r="BG10" t="s">
        <v>9</v>
      </c>
      <c r="BH10" t="s">
        <v>9</v>
      </c>
      <c r="BI10" t="s">
        <v>9</v>
      </c>
      <c r="BJ10" t="s">
        <v>9</v>
      </c>
      <c r="BK10" t="s">
        <v>9</v>
      </c>
      <c r="BL10" t="s">
        <v>9</v>
      </c>
      <c r="BM10" t="s">
        <v>9</v>
      </c>
      <c r="BN10" t="s">
        <v>9</v>
      </c>
      <c r="BO10" t="s">
        <v>9</v>
      </c>
      <c r="BP10" t="s">
        <v>9</v>
      </c>
      <c r="BQ10" t="s">
        <v>9</v>
      </c>
      <c r="BR10" t="s">
        <v>9</v>
      </c>
    </row>
    <row r="11" spans="1:70" hidden="1">
      <c r="A11" s="169" t="s">
        <v>187</v>
      </c>
      <c r="B11" s="169" t="s">
        <v>47</v>
      </c>
      <c r="C11" s="169">
        <v>3</v>
      </c>
      <c r="D11" s="170" t="s">
        <v>591</v>
      </c>
      <c r="E11" s="171" t="str">
        <f>IF(COUNTIF(Measure_62443_3_3[[#This Row],[G 0.13 Interception of Compromising Interference Signals]:[IND.3.2.3 Insufficient regulations for the use of OT remote maintenance access]],"P")&gt;0,"X","")</f>
        <v/>
      </c>
      <c r="F11" s="171" t="str">
        <f>IF(OR(Measure_62443_3_3[[#This Row],[Requirement Selected (Prefulfilled)]]="X",Measure_62443_3_3[[#This Row],[Relevance revoked]]="Yes"),"X","")</f>
        <v/>
      </c>
      <c r="G11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1" s="171" t="str">
        <f>IF(OR(Measure_62443_3_3[[#This Row],[Requirement Selected (Prefulfilled + Mitigating)]]="X",Measure_62443_3_3[[#This Row],[Relevance revoked]]="Yes"),"X","")</f>
        <v/>
      </c>
      <c r="I11" s="172" t="str">
        <f>IF(VLOOKUP(Measure_62443_3_3[[#This Row],[FR]],'SL-T'!$A$5:$B$11,2,FALSE)&gt;=Measure_62443_3_3[[#This Row],[lowest SL-T]],"X","")</f>
        <v/>
      </c>
      <c r="J11" s="173" t="s">
        <v>91</v>
      </c>
      <c r="K11" s="174"/>
      <c r="L11" t="s">
        <v>9</v>
      </c>
      <c r="M11" t="s">
        <v>9</v>
      </c>
      <c r="N11" t="s">
        <v>9</v>
      </c>
      <c r="O11" t="s">
        <v>9</v>
      </c>
      <c r="P11" t="s">
        <v>9</v>
      </c>
      <c r="Q11" t="s">
        <v>9</v>
      </c>
      <c r="R11" t="s">
        <v>9</v>
      </c>
      <c r="S11" t="s">
        <v>9</v>
      </c>
      <c r="T11" t="s">
        <v>9</v>
      </c>
      <c r="U11" t="s">
        <v>9</v>
      </c>
      <c r="V11" t="s">
        <v>9</v>
      </c>
      <c r="W11" t="s">
        <v>9</v>
      </c>
      <c r="X11" t="s">
        <v>9</v>
      </c>
      <c r="Y11" t="s">
        <v>9</v>
      </c>
      <c r="Z11" t="s">
        <v>9</v>
      </c>
      <c r="AA11" t="s">
        <v>9</v>
      </c>
      <c r="AB11" t="s">
        <v>9</v>
      </c>
      <c r="AC11" t="s">
        <v>9</v>
      </c>
      <c r="AD11" t="s">
        <v>9</v>
      </c>
      <c r="AE11" t="s">
        <v>9</v>
      </c>
      <c r="AF11" t="s">
        <v>9</v>
      </c>
      <c r="AG11" t="s">
        <v>9</v>
      </c>
      <c r="AH11" t="s">
        <v>9</v>
      </c>
      <c r="AI11" t="s">
        <v>9</v>
      </c>
      <c r="AJ11" t="s">
        <v>9</v>
      </c>
      <c r="AK11" t="s">
        <v>9</v>
      </c>
      <c r="AL11" t="s">
        <v>9</v>
      </c>
      <c r="AM11" t="s">
        <v>9</v>
      </c>
      <c r="AN11" t="s">
        <v>9</v>
      </c>
      <c r="AO11" t="s">
        <v>9</v>
      </c>
      <c r="AP11" t="s">
        <v>9</v>
      </c>
      <c r="AQ11" t="s">
        <v>9</v>
      </c>
      <c r="AR11" t="s">
        <v>9</v>
      </c>
      <c r="AS11" t="s">
        <v>9</v>
      </c>
      <c r="AT11" t="s">
        <v>9</v>
      </c>
      <c r="AU11" t="s">
        <v>9</v>
      </c>
      <c r="AV11" t="s">
        <v>9</v>
      </c>
      <c r="AW11" t="s">
        <v>9</v>
      </c>
      <c r="AX11" t="s">
        <v>9</v>
      </c>
      <c r="AY11" t="s">
        <v>9</v>
      </c>
      <c r="AZ11" t="s">
        <v>9</v>
      </c>
      <c r="BA11" t="s">
        <v>9</v>
      </c>
      <c r="BB11" t="s">
        <v>9</v>
      </c>
      <c r="BC11" t="s">
        <v>9</v>
      </c>
      <c r="BD11" t="s">
        <v>9</v>
      </c>
      <c r="BE11" t="s">
        <v>9</v>
      </c>
    </row>
    <row r="12" spans="1:70">
      <c r="A12" s="169" t="s">
        <v>188</v>
      </c>
      <c r="B12" s="169" t="s">
        <v>47</v>
      </c>
      <c r="C12" s="169">
        <v>1</v>
      </c>
      <c r="D12" s="170" t="s">
        <v>591</v>
      </c>
      <c r="E12" s="171" t="str">
        <f>IF(COUNTIF(Measure_62443_3_3[[#This Row],[G 0.13 Interception of Compromising Interference Signals]:[IND.3.2.3 Insufficient regulations for the use of OT remote maintenance access]],"P")&gt;0,"X","")</f>
        <v/>
      </c>
      <c r="F12" s="171" t="str">
        <f>IF(OR(Measure_62443_3_3[[#This Row],[Requirement Selected (Prefulfilled)]]="X",Measure_62443_3_3[[#This Row],[Relevance revoked]]="Yes"),"X","")</f>
        <v/>
      </c>
      <c r="G12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2" s="171" t="str">
        <f>IF(OR(Measure_62443_3_3[[#This Row],[Requirement Selected (Prefulfilled + Mitigating)]]="X",Measure_62443_3_3[[#This Row],[Relevance revoked]]="Yes"),"X","")</f>
        <v/>
      </c>
      <c r="I12" s="172" t="str">
        <f>IF(VLOOKUP(Measure_62443_3_3[[#This Row],[FR]],'SL-T'!$A$5:$B$11,2,FALSE)&gt;=Measure_62443_3_3[[#This Row],[lowest SL-T]],"X","")</f>
        <v>X</v>
      </c>
      <c r="J12" s="173" t="s">
        <v>91</v>
      </c>
      <c r="K12" s="174"/>
      <c r="L12" t="s">
        <v>9</v>
      </c>
      <c r="M12" t="s">
        <v>9</v>
      </c>
      <c r="N12" t="s">
        <v>9</v>
      </c>
      <c r="O12" t="s">
        <v>9</v>
      </c>
      <c r="P12" t="s">
        <v>9</v>
      </c>
      <c r="Q12" t="s">
        <v>9</v>
      </c>
      <c r="R12" t="s">
        <v>9</v>
      </c>
      <c r="S12" t="s">
        <v>9</v>
      </c>
      <c r="T12" t="s">
        <v>9</v>
      </c>
      <c r="U12" t="s">
        <v>9</v>
      </c>
      <c r="V12" t="s">
        <v>9</v>
      </c>
      <c r="W12" t="s">
        <v>9</v>
      </c>
      <c r="X12" t="s">
        <v>9</v>
      </c>
      <c r="Y12" t="s">
        <v>9</v>
      </c>
      <c r="Z12" t="s">
        <v>9</v>
      </c>
      <c r="AA12" t="s">
        <v>9</v>
      </c>
      <c r="AB12" t="s">
        <v>9</v>
      </c>
      <c r="AC12" t="s">
        <v>9</v>
      </c>
      <c r="AD12" t="s">
        <v>9</v>
      </c>
      <c r="AE12" t="s">
        <v>9</v>
      </c>
      <c r="AF12" t="s">
        <v>9</v>
      </c>
      <c r="AG12" t="s">
        <v>9</v>
      </c>
      <c r="AH12" t="s">
        <v>9</v>
      </c>
      <c r="AI12" t="s">
        <v>9</v>
      </c>
      <c r="AJ12" t="s">
        <v>9</v>
      </c>
      <c r="AK12" t="s">
        <v>9</v>
      </c>
      <c r="AL12" t="s">
        <v>9</v>
      </c>
      <c r="AM12" t="s">
        <v>9</v>
      </c>
      <c r="AN12" t="s">
        <v>9</v>
      </c>
      <c r="AO12" t="s">
        <v>9</v>
      </c>
      <c r="AP12" t="s">
        <v>9</v>
      </c>
      <c r="AQ12" t="s">
        <v>9</v>
      </c>
      <c r="AR12" t="s">
        <v>9</v>
      </c>
      <c r="AS12" t="s">
        <v>9</v>
      </c>
      <c r="AT12" t="s">
        <v>9</v>
      </c>
      <c r="AU12" t="s">
        <v>9</v>
      </c>
      <c r="AV12" t="s">
        <v>9</v>
      </c>
      <c r="AW12" t="s">
        <v>9</v>
      </c>
      <c r="AX12" t="s">
        <v>9</v>
      </c>
      <c r="AY12" t="s">
        <v>9</v>
      </c>
      <c r="AZ12" t="s">
        <v>9</v>
      </c>
      <c r="BA12" t="s">
        <v>9</v>
      </c>
      <c r="BB12" t="s">
        <v>9</v>
      </c>
      <c r="BC12" t="s">
        <v>9</v>
      </c>
      <c r="BD12" t="s">
        <v>9</v>
      </c>
      <c r="BE12" t="s">
        <v>9</v>
      </c>
      <c r="BF12" t="s">
        <v>9</v>
      </c>
      <c r="BG12" t="s">
        <v>9</v>
      </c>
      <c r="BH12" t="s">
        <v>9</v>
      </c>
      <c r="BI12" t="s">
        <v>9</v>
      </c>
      <c r="BJ12" t="s">
        <v>9</v>
      </c>
      <c r="BK12" t="s">
        <v>9</v>
      </c>
      <c r="BL12" t="s">
        <v>9</v>
      </c>
      <c r="BM12" t="s">
        <v>9</v>
      </c>
      <c r="BN12" t="s">
        <v>9</v>
      </c>
      <c r="BO12" t="s">
        <v>9</v>
      </c>
      <c r="BP12" t="s">
        <v>9</v>
      </c>
      <c r="BQ12" t="s">
        <v>9</v>
      </c>
      <c r="BR12" t="s">
        <v>9</v>
      </c>
    </row>
    <row r="13" spans="1:70">
      <c r="A13" s="169" t="s">
        <v>189</v>
      </c>
      <c r="B13" s="169" t="s">
        <v>47</v>
      </c>
      <c r="C13" s="169">
        <v>1</v>
      </c>
      <c r="D13" s="170" t="s">
        <v>591</v>
      </c>
      <c r="E13" s="171" t="str">
        <f>IF(COUNTIF(Measure_62443_3_3[[#This Row],[G 0.13 Interception of Compromising Interference Signals]:[IND.3.2.3 Insufficient regulations for the use of OT remote maintenance access]],"P")&gt;0,"X","")</f>
        <v/>
      </c>
      <c r="F13" s="171" t="str">
        <f>IF(OR(Measure_62443_3_3[[#This Row],[Requirement Selected (Prefulfilled)]]="X",Measure_62443_3_3[[#This Row],[Relevance revoked]]="Yes"),"X","")</f>
        <v/>
      </c>
      <c r="G13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3" s="171" t="str">
        <f>IF(OR(Measure_62443_3_3[[#This Row],[Requirement Selected (Prefulfilled + Mitigating)]]="X",Measure_62443_3_3[[#This Row],[Relevance revoked]]="Yes"),"X","")</f>
        <v/>
      </c>
      <c r="I13" s="172" t="str">
        <f>IF(VLOOKUP(Measure_62443_3_3[[#This Row],[FR]],'SL-T'!$A$5:$B$11,2,FALSE)&gt;=Measure_62443_3_3[[#This Row],[lowest SL-T]],"X","")</f>
        <v>X</v>
      </c>
      <c r="J13" s="173" t="s">
        <v>91</v>
      </c>
      <c r="K13" s="174"/>
      <c r="L13" t="s">
        <v>9</v>
      </c>
      <c r="M13" t="s">
        <v>9</v>
      </c>
      <c r="N13" t="s">
        <v>9</v>
      </c>
      <c r="O13" t="s">
        <v>9</v>
      </c>
      <c r="P13" t="s">
        <v>9</v>
      </c>
      <c r="Q13" t="s">
        <v>9</v>
      </c>
      <c r="R13" t="s">
        <v>9</v>
      </c>
      <c r="S13" t="s">
        <v>9</v>
      </c>
      <c r="T13" t="s">
        <v>9</v>
      </c>
      <c r="U13" t="s">
        <v>9</v>
      </c>
      <c r="V13" t="s">
        <v>9</v>
      </c>
      <c r="W13" t="s">
        <v>9</v>
      </c>
      <c r="X13" t="s">
        <v>9</v>
      </c>
      <c r="Y13" t="s">
        <v>9</v>
      </c>
      <c r="Z13" t="s">
        <v>9</v>
      </c>
      <c r="AA13" t="s">
        <v>9</v>
      </c>
      <c r="AB13" t="s">
        <v>9</v>
      </c>
      <c r="AC13" t="s">
        <v>9</v>
      </c>
      <c r="AD13" t="s">
        <v>9</v>
      </c>
      <c r="AE13" t="s">
        <v>9</v>
      </c>
      <c r="AF13" t="s">
        <v>9</v>
      </c>
      <c r="AG13" t="s">
        <v>9</v>
      </c>
      <c r="AH13" t="s">
        <v>9</v>
      </c>
      <c r="AI13" t="s">
        <v>9</v>
      </c>
      <c r="AJ13" t="s">
        <v>9</v>
      </c>
      <c r="AK13" t="s">
        <v>9</v>
      </c>
      <c r="AL13" t="s">
        <v>9</v>
      </c>
      <c r="AM13" t="s">
        <v>9</v>
      </c>
      <c r="AN13" t="s">
        <v>9</v>
      </c>
      <c r="AO13" t="s">
        <v>9</v>
      </c>
      <c r="AP13" t="s">
        <v>9</v>
      </c>
      <c r="AQ13" t="s">
        <v>9</v>
      </c>
      <c r="AR13" t="s">
        <v>9</v>
      </c>
      <c r="AS13" t="s">
        <v>9</v>
      </c>
      <c r="AT13" t="s">
        <v>9</v>
      </c>
      <c r="AU13" t="s">
        <v>9</v>
      </c>
      <c r="AV13" t="s">
        <v>9</v>
      </c>
      <c r="AW13" t="s">
        <v>9</v>
      </c>
      <c r="AX13" t="s">
        <v>9</v>
      </c>
      <c r="AY13" t="s">
        <v>9</v>
      </c>
      <c r="AZ13" t="s">
        <v>9</v>
      </c>
      <c r="BA13" t="s">
        <v>9</v>
      </c>
      <c r="BB13" t="s">
        <v>9</v>
      </c>
      <c r="BC13" t="s">
        <v>9</v>
      </c>
      <c r="BD13" t="s">
        <v>9</v>
      </c>
      <c r="BE13" t="s">
        <v>9</v>
      </c>
      <c r="BF13" t="s">
        <v>9</v>
      </c>
      <c r="BG13" t="s">
        <v>9</v>
      </c>
      <c r="BH13" t="s">
        <v>9</v>
      </c>
      <c r="BI13" t="s">
        <v>9</v>
      </c>
      <c r="BJ13" t="s">
        <v>9</v>
      </c>
      <c r="BK13" t="s">
        <v>9</v>
      </c>
      <c r="BL13" t="s">
        <v>9</v>
      </c>
      <c r="BM13" t="s">
        <v>9</v>
      </c>
      <c r="BN13" t="s">
        <v>9</v>
      </c>
      <c r="BO13" t="s">
        <v>9</v>
      </c>
      <c r="BP13" t="s">
        <v>9</v>
      </c>
      <c r="BQ13" t="s">
        <v>9</v>
      </c>
      <c r="BR13" t="s">
        <v>9</v>
      </c>
    </row>
    <row r="14" spans="1:70" hidden="1">
      <c r="A14" s="169" t="s">
        <v>190</v>
      </c>
      <c r="B14" s="169" t="s">
        <v>47</v>
      </c>
      <c r="C14" s="169">
        <v>3</v>
      </c>
      <c r="D14" s="170" t="s">
        <v>591</v>
      </c>
      <c r="E14" s="171" t="str">
        <f>IF(COUNTIF(Measure_62443_3_3[[#This Row],[G 0.13 Interception of Compromising Interference Signals]:[IND.3.2.3 Insufficient regulations for the use of OT remote maintenance access]],"P")&gt;0,"X","")</f>
        <v/>
      </c>
      <c r="F14" s="171" t="str">
        <f>IF(OR(Measure_62443_3_3[[#This Row],[Requirement Selected (Prefulfilled)]]="X",Measure_62443_3_3[[#This Row],[Relevance revoked]]="Yes"),"X","")</f>
        <v/>
      </c>
      <c r="G14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4" s="171" t="str">
        <f>IF(OR(Measure_62443_3_3[[#This Row],[Requirement Selected (Prefulfilled + Mitigating)]]="X",Measure_62443_3_3[[#This Row],[Relevance revoked]]="Yes"),"X","")</f>
        <v/>
      </c>
      <c r="I14" s="172" t="str">
        <f>IF(VLOOKUP(Measure_62443_3_3[[#This Row],[FR]],'SL-T'!$A$5:$B$11,2,FALSE)&gt;=Measure_62443_3_3[[#This Row],[lowest SL-T]],"X","")</f>
        <v/>
      </c>
      <c r="J14" s="173" t="s">
        <v>91</v>
      </c>
      <c r="K14" s="174"/>
      <c r="L14" t="s">
        <v>9</v>
      </c>
      <c r="M14" t="s">
        <v>9</v>
      </c>
      <c r="N14" t="s">
        <v>9</v>
      </c>
      <c r="O14" t="s">
        <v>9</v>
      </c>
      <c r="P14" t="s">
        <v>9</v>
      </c>
      <c r="Q14" t="s">
        <v>9</v>
      </c>
      <c r="R14" t="s">
        <v>9</v>
      </c>
      <c r="S14" t="s">
        <v>9</v>
      </c>
      <c r="T14" t="s">
        <v>9</v>
      </c>
      <c r="U14" t="s">
        <v>9</v>
      </c>
      <c r="V14" t="s">
        <v>9</v>
      </c>
      <c r="W14" t="s">
        <v>9</v>
      </c>
      <c r="X14" t="s">
        <v>9</v>
      </c>
      <c r="Y14" t="s">
        <v>9</v>
      </c>
      <c r="Z14" t="s">
        <v>9</v>
      </c>
      <c r="AA14" t="s">
        <v>9</v>
      </c>
      <c r="AB14" t="s">
        <v>9</v>
      </c>
      <c r="AC14" t="s">
        <v>9</v>
      </c>
      <c r="AD14" t="s">
        <v>9</v>
      </c>
      <c r="AE14" t="s">
        <v>9</v>
      </c>
      <c r="AF14" t="s">
        <v>9</v>
      </c>
      <c r="AG14" t="s">
        <v>9</v>
      </c>
      <c r="AH14" t="s">
        <v>9</v>
      </c>
      <c r="AI14" t="s">
        <v>9</v>
      </c>
      <c r="AJ14" t="s">
        <v>9</v>
      </c>
      <c r="AK14" t="s">
        <v>9</v>
      </c>
      <c r="AL14" t="s">
        <v>9</v>
      </c>
      <c r="AM14" t="s">
        <v>9</v>
      </c>
      <c r="AN14" t="s">
        <v>9</v>
      </c>
      <c r="AO14" t="s">
        <v>9</v>
      </c>
      <c r="AP14" t="s">
        <v>9</v>
      </c>
      <c r="AQ14" t="s">
        <v>9</v>
      </c>
      <c r="AR14" t="s">
        <v>9</v>
      </c>
      <c r="AS14" t="s">
        <v>9</v>
      </c>
      <c r="AT14" t="s">
        <v>9</v>
      </c>
      <c r="AU14" t="s">
        <v>9</v>
      </c>
      <c r="AV14" t="s">
        <v>9</v>
      </c>
      <c r="AW14" t="s">
        <v>9</v>
      </c>
      <c r="AX14" t="s">
        <v>9</v>
      </c>
      <c r="AY14" t="s">
        <v>9</v>
      </c>
      <c r="AZ14" t="s">
        <v>9</v>
      </c>
      <c r="BA14" t="s">
        <v>9</v>
      </c>
      <c r="BB14" t="s">
        <v>9</v>
      </c>
      <c r="BC14" t="s">
        <v>9</v>
      </c>
      <c r="BD14" t="s">
        <v>9</v>
      </c>
      <c r="BE14" t="s">
        <v>9</v>
      </c>
    </row>
    <row r="15" spans="1:70">
      <c r="A15" s="169" t="s">
        <v>191</v>
      </c>
      <c r="B15" s="169" t="s">
        <v>47</v>
      </c>
      <c r="C15" s="169">
        <v>1</v>
      </c>
      <c r="D15" s="170" t="s">
        <v>591</v>
      </c>
      <c r="E15" s="171" t="str">
        <f>IF(COUNTIF(Measure_62443_3_3[[#This Row],[G 0.13 Interception of Compromising Interference Signals]:[IND.3.2.3 Insufficient regulations for the use of OT remote maintenance access]],"P")&gt;0,"X","")</f>
        <v/>
      </c>
      <c r="F15" s="171" t="str">
        <f>IF(OR(Measure_62443_3_3[[#This Row],[Requirement Selected (Prefulfilled)]]="X",Measure_62443_3_3[[#This Row],[Relevance revoked]]="Yes"),"X","")</f>
        <v/>
      </c>
      <c r="G15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5" s="171" t="str">
        <f>IF(OR(Measure_62443_3_3[[#This Row],[Requirement Selected (Prefulfilled + Mitigating)]]="X",Measure_62443_3_3[[#This Row],[Relevance revoked]]="Yes"),"X","")</f>
        <v/>
      </c>
      <c r="I15" s="172" t="str">
        <f>IF(VLOOKUP(Measure_62443_3_3[[#This Row],[FR]],'SL-T'!$A$5:$B$11,2,FALSE)&gt;=Measure_62443_3_3[[#This Row],[lowest SL-T]],"X","")</f>
        <v>X</v>
      </c>
      <c r="J15" s="173" t="s">
        <v>91</v>
      </c>
      <c r="K15" s="174"/>
      <c r="L15" t="s">
        <v>9</v>
      </c>
      <c r="M15" t="s">
        <v>9</v>
      </c>
      <c r="N15" t="s">
        <v>9</v>
      </c>
      <c r="O15" t="s">
        <v>9</v>
      </c>
      <c r="P15" t="s">
        <v>9</v>
      </c>
      <c r="Q15" t="s">
        <v>9</v>
      </c>
      <c r="R15" t="s">
        <v>9</v>
      </c>
      <c r="S15" t="s">
        <v>9</v>
      </c>
      <c r="T15" t="s">
        <v>9</v>
      </c>
      <c r="U15" t="s">
        <v>9</v>
      </c>
      <c r="V15" t="s">
        <v>9</v>
      </c>
      <c r="W15" t="s">
        <v>9</v>
      </c>
      <c r="X15" t="s">
        <v>9</v>
      </c>
      <c r="Y15" t="s">
        <v>9</v>
      </c>
      <c r="Z15" t="s">
        <v>9</v>
      </c>
      <c r="AA15" t="s">
        <v>9</v>
      </c>
      <c r="AB15" t="s">
        <v>9</v>
      </c>
      <c r="AC15" t="s">
        <v>9</v>
      </c>
      <c r="AD15" t="s">
        <v>9</v>
      </c>
      <c r="AE15" t="s">
        <v>9</v>
      </c>
      <c r="AF15" t="s">
        <v>9</v>
      </c>
      <c r="AG15" t="s">
        <v>9</v>
      </c>
      <c r="AH15" t="s">
        <v>9</v>
      </c>
      <c r="AI15" t="s">
        <v>9</v>
      </c>
      <c r="AJ15" t="s">
        <v>9</v>
      </c>
      <c r="AK15" t="s">
        <v>9</v>
      </c>
      <c r="AL15" t="s">
        <v>9</v>
      </c>
      <c r="AM15" t="s">
        <v>9</v>
      </c>
      <c r="AN15" t="s">
        <v>9</v>
      </c>
      <c r="AO15" t="s">
        <v>9</v>
      </c>
      <c r="AP15" t="s">
        <v>9</v>
      </c>
      <c r="AQ15" t="s">
        <v>9</v>
      </c>
      <c r="AR15" t="s">
        <v>9</v>
      </c>
      <c r="AS15" t="s">
        <v>9</v>
      </c>
      <c r="AT15" t="s">
        <v>9</v>
      </c>
      <c r="AU15" t="s">
        <v>9</v>
      </c>
      <c r="AV15" t="s">
        <v>9</v>
      </c>
      <c r="AW15" t="s">
        <v>9</v>
      </c>
      <c r="AX15" t="s">
        <v>9</v>
      </c>
      <c r="AY15" t="s">
        <v>9</v>
      </c>
      <c r="AZ15" t="s">
        <v>9</v>
      </c>
      <c r="BA15" t="s">
        <v>9</v>
      </c>
      <c r="BB15" t="s">
        <v>9</v>
      </c>
      <c r="BC15" t="s">
        <v>9</v>
      </c>
      <c r="BD15" t="s">
        <v>9</v>
      </c>
      <c r="BE15" t="s">
        <v>9</v>
      </c>
      <c r="BF15" t="s">
        <v>9</v>
      </c>
      <c r="BG15" t="s">
        <v>9</v>
      </c>
      <c r="BH15" t="s">
        <v>9</v>
      </c>
      <c r="BI15" t="s">
        <v>9</v>
      </c>
      <c r="BJ15" t="s">
        <v>9</v>
      </c>
      <c r="BK15" t="s">
        <v>9</v>
      </c>
      <c r="BL15" t="s">
        <v>9</v>
      </c>
      <c r="BM15" t="s">
        <v>9</v>
      </c>
      <c r="BN15" t="s">
        <v>9</v>
      </c>
      <c r="BO15" t="s">
        <v>9</v>
      </c>
      <c r="BP15" t="s">
        <v>9</v>
      </c>
      <c r="BQ15" t="s">
        <v>9</v>
      </c>
      <c r="BR15" t="s">
        <v>9</v>
      </c>
    </row>
    <row r="16" spans="1:70">
      <c r="A16" s="169" t="s">
        <v>192</v>
      </c>
      <c r="B16" s="169" t="s">
        <v>47</v>
      </c>
      <c r="C16" s="169">
        <v>2</v>
      </c>
      <c r="D16" s="170" t="s">
        <v>591</v>
      </c>
      <c r="E16" s="171" t="str">
        <f>IF(COUNTIF(Measure_62443_3_3[[#This Row],[G 0.13 Interception of Compromising Interference Signals]:[IND.3.2.3 Insufficient regulations for the use of OT remote maintenance access]],"P")&gt;0,"X","")</f>
        <v/>
      </c>
      <c r="F16" s="171" t="str">
        <f>IF(OR(Measure_62443_3_3[[#This Row],[Requirement Selected (Prefulfilled)]]="X",Measure_62443_3_3[[#This Row],[Relevance revoked]]="Yes"),"X","")</f>
        <v/>
      </c>
      <c r="G16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6" s="171" t="str">
        <f>IF(OR(Measure_62443_3_3[[#This Row],[Requirement Selected (Prefulfilled + Mitigating)]]="X",Measure_62443_3_3[[#This Row],[Relevance revoked]]="Yes"),"X","")</f>
        <v/>
      </c>
      <c r="I16" s="172" t="str">
        <f>IF(VLOOKUP(Measure_62443_3_3[[#This Row],[FR]],'SL-T'!$A$5:$B$11,2,FALSE)&gt;=Measure_62443_3_3[[#This Row],[lowest SL-T]],"X","")</f>
        <v>X</v>
      </c>
      <c r="J16" s="173" t="s">
        <v>91</v>
      </c>
      <c r="K16" s="174"/>
      <c r="L16" t="s">
        <v>9</v>
      </c>
      <c r="M16" t="s">
        <v>9</v>
      </c>
      <c r="N16" t="s">
        <v>9</v>
      </c>
      <c r="O16" t="s">
        <v>9</v>
      </c>
      <c r="P16" t="s">
        <v>9</v>
      </c>
      <c r="Q16" t="s">
        <v>9</v>
      </c>
      <c r="R16" t="s">
        <v>9</v>
      </c>
      <c r="S16" t="s">
        <v>9</v>
      </c>
      <c r="T16" t="s">
        <v>9</v>
      </c>
      <c r="U16" t="s">
        <v>9</v>
      </c>
      <c r="V16" t="s">
        <v>9</v>
      </c>
      <c r="W16" t="s">
        <v>9</v>
      </c>
      <c r="X16" t="s">
        <v>9</v>
      </c>
      <c r="Y16" t="s">
        <v>9</v>
      </c>
      <c r="Z16" t="s">
        <v>9</v>
      </c>
      <c r="AA16" t="s">
        <v>9</v>
      </c>
      <c r="AB16" t="s">
        <v>9</v>
      </c>
      <c r="AC16" t="s">
        <v>9</v>
      </c>
      <c r="AD16" t="s">
        <v>9</v>
      </c>
      <c r="AE16" t="s">
        <v>9</v>
      </c>
      <c r="AF16" t="s">
        <v>9</v>
      </c>
      <c r="AG16" t="s">
        <v>9</v>
      </c>
      <c r="AH16" t="s">
        <v>9</v>
      </c>
      <c r="AI16" t="s">
        <v>9</v>
      </c>
      <c r="AJ16" t="s">
        <v>9</v>
      </c>
      <c r="AK16" t="s">
        <v>9</v>
      </c>
      <c r="AL16" t="s">
        <v>9</v>
      </c>
      <c r="AM16" t="s">
        <v>9</v>
      </c>
      <c r="AN16" t="s">
        <v>9</v>
      </c>
      <c r="AO16" t="s">
        <v>9</v>
      </c>
      <c r="AP16" t="s">
        <v>9</v>
      </c>
      <c r="AQ16" t="s">
        <v>9</v>
      </c>
      <c r="AR16" t="s">
        <v>9</v>
      </c>
      <c r="AS16" t="s">
        <v>9</v>
      </c>
      <c r="AT16" t="s">
        <v>9</v>
      </c>
      <c r="AU16" t="s">
        <v>9</v>
      </c>
      <c r="AV16" t="s">
        <v>9</v>
      </c>
      <c r="AW16" t="s">
        <v>9</v>
      </c>
      <c r="AX16" t="s">
        <v>9</v>
      </c>
      <c r="AY16" t="s">
        <v>9</v>
      </c>
      <c r="AZ16" t="s">
        <v>9</v>
      </c>
      <c r="BA16" t="s">
        <v>9</v>
      </c>
      <c r="BB16" t="s">
        <v>9</v>
      </c>
      <c r="BC16" t="s">
        <v>9</v>
      </c>
      <c r="BD16" t="s">
        <v>9</v>
      </c>
      <c r="BE16" t="s">
        <v>9</v>
      </c>
    </row>
    <row r="17" spans="1:70">
      <c r="A17" s="169" t="s">
        <v>193</v>
      </c>
      <c r="B17" s="169" t="s">
        <v>47</v>
      </c>
      <c r="C17" s="169">
        <v>1</v>
      </c>
      <c r="D17" s="170" t="s">
        <v>591</v>
      </c>
      <c r="E17" s="171" t="str">
        <f>IF(COUNTIF(Measure_62443_3_3[[#This Row],[G 0.13 Interception of Compromising Interference Signals]:[IND.3.2.3 Insufficient regulations for the use of OT remote maintenance access]],"P")&gt;0,"X","")</f>
        <v/>
      </c>
      <c r="F17" s="171" t="str">
        <f>IF(OR(Measure_62443_3_3[[#This Row],[Requirement Selected (Prefulfilled)]]="X",Measure_62443_3_3[[#This Row],[Relevance revoked]]="Yes"),"X","")</f>
        <v/>
      </c>
      <c r="G17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7" s="171" t="str">
        <f>IF(OR(Measure_62443_3_3[[#This Row],[Requirement Selected (Prefulfilled + Mitigating)]]="X",Measure_62443_3_3[[#This Row],[Relevance revoked]]="Yes"),"X","")</f>
        <v/>
      </c>
      <c r="I17" s="172" t="str">
        <f>IF(VLOOKUP(Measure_62443_3_3[[#This Row],[FR]],'SL-T'!$A$5:$B$11,2,FALSE)&gt;=Measure_62443_3_3[[#This Row],[lowest SL-T]],"X","")</f>
        <v>X</v>
      </c>
      <c r="J17" s="173" t="s">
        <v>91</v>
      </c>
      <c r="K17" s="174"/>
      <c r="L17" t="s">
        <v>9</v>
      </c>
      <c r="M17" t="s">
        <v>9</v>
      </c>
      <c r="N17" t="s">
        <v>9</v>
      </c>
      <c r="O17" t="s">
        <v>9</v>
      </c>
      <c r="P17" t="s">
        <v>9</v>
      </c>
      <c r="Q17" t="s">
        <v>9</v>
      </c>
      <c r="R17" t="s">
        <v>9</v>
      </c>
      <c r="S17" t="s">
        <v>9</v>
      </c>
      <c r="T17" t="s">
        <v>9</v>
      </c>
      <c r="U17" t="s">
        <v>9</v>
      </c>
      <c r="V17" t="s">
        <v>9</v>
      </c>
      <c r="W17" t="s">
        <v>9</v>
      </c>
      <c r="X17" t="s">
        <v>9</v>
      </c>
      <c r="Y17" t="s">
        <v>9</v>
      </c>
      <c r="Z17" t="s">
        <v>9</v>
      </c>
      <c r="AA17" t="s">
        <v>9</v>
      </c>
      <c r="AB17" t="s">
        <v>9</v>
      </c>
      <c r="AC17" t="s">
        <v>9</v>
      </c>
      <c r="AD17" t="s">
        <v>9</v>
      </c>
      <c r="AE17" t="s">
        <v>9</v>
      </c>
      <c r="AF17" t="s">
        <v>9</v>
      </c>
      <c r="AG17" t="s">
        <v>9</v>
      </c>
      <c r="AH17" t="s">
        <v>9</v>
      </c>
      <c r="AI17" t="s">
        <v>9</v>
      </c>
      <c r="AJ17" t="s">
        <v>9</v>
      </c>
      <c r="AK17" t="s">
        <v>9</v>
      </c>
      <c r="AL17" t="s">
        <v>9</v>
      </c>
      <c r="AM17" t="s">
        <v>9</v>
      </c>
      <c r="AN17" t="s">
        <v>9</v>
      </c>
      <c r="AO17" t="s">
        <v>9</v>
      </c>
      <c r="AP17" t="s">
        <v>9</v>
      </c>
      <c r="AQ17" t="s">
        <v>9</v>
      </c>
      <c r="AR17" t="s">
        <v>9</v>
      </c>
      <c r="AS17" t="s">
        <v>9</v>
      </c>
      <c r="AT17" t="s">
        <v>9</v>
      </c>
      <c r="AU17" t="s">
        <v>9</v>
      </c>
      <c r="AV17" t="s">
        <v>9</v>
      </c>
      <c r="AW17" t="s">
        <v>9</v>
      </c>
      <c r="AX17" t="s">
        <v>9</v>
      </c>
      <c r="AY17" t="s">
        <v>9</v>
      </c>
      <c r="AZ17" t="s">
        <v>9</v>
      </c>
      <c r="BA17" t="s">
        <v>9</v>
      </c>
      <c r="BB17" t="s">
        <v>9</v>
      </c>
      <c r="BC17" t="s">
        <v>9</v>
      </c>
      <c r="BD17" t="s">
        <v>9</v>
      </c>
      <c r="BE17" t="s">
        <v>9</v>
      </c>
      <c r="BF17" t="s">
        <v>9</v>
      </c>
      <c r="BG17" t="s">
        <v>9</v>
      </c>
      <c r="BH17" t="s">
        <v>9</v>
      </c>
      <c r="BI17" t="s">
        <v>9</v>
      </c>
      <c r="BJ17" t="s">
        <v>9</v>
      </c>
      <c r="BK17" t="s">
        <v>9</v>
      </c>
      <c r="BL17" t="s">
        <v>9</v>
      </c>
      <c r="BM17" t="s">
        <v>9</v>
      </c>
      <c r="BN17" t="s">
        <v>9</v>
      </c>
      <c r="BO17" t="s">
        <v>9</v>
      </c>
      <c r="BP17" t="s">
        <v>9</v>
      </c>
      <c r="BQ17" t="s">
        <v>9</v>
      </c>
      <c r="BR17" t="s">
        <v>9</v>
      </c>
    </row>
    <row r="18" spans="1:70" hidden="1">
      <c r="A18" s="169" t="s">
        <v>194</v>
      </c>
      <c r="B18" s="169" t="s">
        <v>47</v>
      </c>
      <c r="C18" s="169">
        <v>3</v>
      </c>
      <c r="D18" s="170" t="s">
        <v>591</v>
      </c>
      <c r="E18" s="171" t="str">
        <f>IF(COUNTIF(Measure_62443_3_3[[#This Row],[G 0.13 Interception of Compromising Interference Signals]:[IND.3.2.3 Insufficient regulations for the use of OT remote maintenance access]],"P")&gt;0,"X","")</f>
        <v/>
      </c>
      <c r="F18" s="171" t="str">
        <f>IF(OR(Measure_62443_3_3[[#This Row],[Requirement Selected (Prefulfilled)]]="X",Measure_62443_3_3[[#This Row],[Relevance revoked]]="Yes"),"X","")</f>
        <v/>
      </c>
      <c r="G18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8" s="171" t="str">
        <f>IF(OR(Measure_62443_3_3[[#This Row],[Requirement Selected (Prefulfilled + Mitigating)]]="X",Measure_62443_3_3[[#This Row],[Relevance revoked]]="Yes"),"X","")</f>
        <v/>
      </c>
      <c r="I18" s="172" t="str">
        <f>IF(VLOOKUP(Measure_62443_3_3[[#This Row],[FR]],'SL-T'!$A$5:$B$11,2,FALSE)&gt;=Measure_62443_3_3[[#This Row],[lowest SL-T]],"X","")</f>
        <v/>
      </c>
      <c r="J18" s="173" t="s">
        <v>91</v>
      </c>
      <c r="K18" s="174"/>
      <c r="L18" t="s">
        <v>9</v>
      </c>
      <c r="M18" t="s">
        <v>9</v>
      </c>
      <c r="N18" t="s">
        <v>9</v>
      </c>
      <c r="O18" t="s">
        <v>9</v>
      </c>
      <c r="P18" t="s">
        <v>9</v>
      </c>
      <c r="Q18" t="s">
        <v>9</v>
      </c>
      <c r="R18" t="s">
        <v>9</v>
      </c>
      <c r="S18" t="s">
        <v>9</v>
      </c>
      <c r="T18" t="s">
        <v>9</v>
      </c>
      <c r="U18" t="s">
        <v>9</v>
      </c>
      <c r="V18" t="s">
        <v>9</v>
      </c>
      <c r="W18" t="s">
        <v>9</v>
      </c>
      <c r="X18" t="s">
        <v>9</v>
      </c>
      <c r="Y18" t="s">
        <v>9</v>
      </c>
      <c r="Z18" t="s">
        <v>9</v>
      </c>
      <c r="AA18" t="s">
        <v>9</v>
      </c>
      <c r="AB18" t="s">
        <v>9</v>
      </c>
      <c r="AC18" t="s">
        <v>9</v>
      </c>
      <c r="AD18" t="s">
        <v>9</v>
      </c>
      <c r="AE18" t="s">
        <v>9</v>
      </c>
      <c r="AF18" t="s">
        <v>9</v>
      </c>
      <c r="AG18" t="s">
        <v>9</v>
      </c>
      <c r="AH18" t="s">
        <v>9</v>
      </c>
      <c r="AI18" t="s">
        <v>9</v>
      </c>
      <c r="AJ18" t="s">
        <v>9</v>
      </c>
      <c r="AK18" t="s">
        <v>9</v>
      </c>
      <c r="AL18" t="s">
        <v>9</v>
      </c>
      <c r="AM18" t="s">
        <v>9</v>
      </c>
      <c r="AN18" t="s">
        <v>9</v>
      </c>
      <c r="AO18" t="s">
        <v>9</v>
      </c>
      <c r="AP18" t="s">
        <v>9</v>
      </c>
      <c r="AQ18" t="s">
        <v>9</v>
      </c>
      <c r="AR18" t="s">
        <v>9</v>
      </c>
      <c r="AS18" t="s">
        <v>9</v>
      </c>
      <c r="AT18" t="s">
        <v>9</v>
      </c>
      <c r="AU18" t="s">
        <v>9</v>
      </c>
      <c r="AV18" t="s">
        <v>9</v>
      </c>
      <c r="AW18" t="s">
        <v>9</v>
      </c>
      <c r="AX18" t="s">
        <v>9</v>
      </c>
      <c r="AY18" t="s">
        <v>9</v>
      </c>
      <c r="AZ18" t="s">
        <v>9</v>
      </c>
      <c r="BA18" t="s">
        <v>9</v>
      </c>
      <c r="BB18" t="s">
        <v>9</v>
      </c>
      <c r="BC18" t="s">
        <v>9</v>
      </c>
      <c r="BD18" t="s">
        <v>9</v>
      </c>
      <c r="BE18" t="s">
        <v>9</v>
      </c>
    </row>
    <row r="19" spans="1:70" hidden="1">
      <c r="A19" s="169" t="s">
        <v>195</v>
      </c>
      <c r="B19" s="169" t="s">
        <v>47</v>
      </c>
      <c r="C19" s="169">
        <v>4</v>
      </c>
      <c r="D19" s="170" t="s">
        <v>591</v>
      </c>
      <c r="E19" s="170" t="str">
        <f>IF(COUNTIF(Measure_62443_3_3[[#This Row],[G 0.13 Interception of Compromising Interference Signals]:[IND.3.2.3 Insufficient regulations for the use of OT remote maintenance access]],"P")&gt;0,"X","")</f>
        <v/>
      </c>
      <c r="F19" s="170" t="str">
        <f>IF(OR(Measure_62443_3_3[[#This Row],[Requirement Selected (Prefulfilled)]]="X",Measure_62443_3_3[[#This Row],[Relevance revoked]]="Yes"),"X","")</f>
        <v/>
      </c>
      <c r="G1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9" s="170" t="str">
        <f>IF(OR(Measure_62443_3_3[[#This Row],[Requirement Selected (Prefulfilled + Mitigating)]]="X",Measure_62443_3_3[[#This Row],[Relevance revoked]]="Yes"),"X","")</f>
        <v/>
      </c>
      <c r="I19" s="172" t="str">
        <f>IF(VLOOKUP(Measure_62443_3_3[[#This Row],[FR]],'SL-T'!$A$5:$B$11,2,FALSE)&gt;=Measure_62443_3_3[[#This Row],[lowest SL-T]],"X","")</f>
        <v/>
      </c>
      <c r="J19" s="173" t="s">
        <v>91</v>
      </c>
      <c r="K19" s="174"/>
      <c r="L19" t="s">
        <v>9</v>
      </c>
      <c r="M19" t="s">
        <v>9</v>
      </c>
      <c r="N19" t="s">
        <v>9</v>
      </c>
      <c r="O19" t="s">
        <v>9</v>
      </c>
      <c r="P19" t="s">
        <v>9</v>
      </c>
      <c r="Q19" t="s">
        <v>9</v>
      </c>
      <c r="R19" t="s">
        <v>9</v>
      </c>
      <c r="S19" t="s">
        <v>9</v>
      </c>
      <c r="T19" t="s">
        <v>9</v>
      </c>
      <c r="U19" t="s">
        <v>9</v>
      </c>
      <c r="V19" t="s">
        <v>9</v>
      </c>
      <c r="W19" t="s">
        <v>9</v>
      </c>
      <c r="X19" t="s">
        <v>9</v>
      </c>
      <c r="Y19" t="s">
        <v>9</v>
      </c>
      <c r="Z19" t="s">
        <v>9</v>
      </c>
      <c r="AA19" t="s">
        <v>9</v>
      </c>
      <c r="AB19" t="s">
        <v>9</v>
      </c>
      <c r="AC19" t="s">
        <v>9</v>
      </c>
      <c r="AD19" t="s">
        <v>9</v>
      </c>
      <c r="AE19" t="s">
        <v>9</v>
      </c>
      <c r="AF19" t="s">
        <v>9</v>
      </c>
      <c r="AG19" t="s">
        <v>9</v>
      </c>
      <c r="AH19" t="s">
        <v>9</v>
      </c>
      <c r="AI19" t="s">
        <v>9</v>
      </c>
      <c r="AJ19" t="s">
        <v>9</v>
      </c>
      <c r="AK19" t="s">
        <v>9</v>
      </c>
      <c r="AL19" t="s">
        <v>9</v>
      </c>
      <c r="AM19" t="s">
        <v>9</v>
      </c>
      <c r="AN19" t="s">
        <v>9</v>
      </c>
      <c r="AO19" t="s">
        <v>9</v>
      </c>
      <c r="AP19" t="s">
        <v>9</v>
      </c>
      <c r="AQ19" t="s">
        <v>9</v>
      </c>
      <c r="AR19" t="s">
        <v>9</v>
      </c>
      <c r="AS19" t="s">
        <v>9</v>
      </c>
      <c r="AT19" t="s">
        <v>9</v>
      </c>
      <c r="AU19" t="s">
        <v>9</v>
      </c>
      <c r="AV19" t="s">
        <v>9</v>
      </c>
      <c r="AW19" t="s">
        <v>9</v>
      </c>
      <c r="AX19" t="s">
        <v>9</v>
      </c>
      <c r="AY19" t="s">
        <v>9</v>
      </c>
      <c r="AZ19" t="s">
        <v>9</v>
      </c>
      <c r="BA19" t="s">
        <v>9</v>
      </c>
      <c r="BB19" t="s">
        <v>9</v>
      </c>
      <c r="BC19" t="s">
        <v>9</v>
      </c>
      <c r="BD19" t="s">
        <v>9</v>
      </c>
      <c r="BE19" t="s">
        <v>9</v>
      </c>
    </row>
    <row r="20" spans="1:70">
      <c r="A20" s="169" t="s">
        <v>196</v>
      </c>
      <c r="B20" s="169" t="s">
        <v>47</v>
      </c>
      <c r="C20" s="169">
        <v>2</v>
      </c>
      <c r="D20" s="170" t="s">
        <v>591</v>
      </c>
      <c r="E20" s="171" t="str">
        <f>IF(COUNTIF(Measure_62443_3_3[[#This Row],[G 0.13 Interception of Compromising Interference Signals]:[IND.3.2.3 Insufficient regulations for the use of OT remote maintenance access]],"P")&gt;0,"X","")</f>
        <v/>
      </c>
      <c r="F20" s="171" t="str">
        <f>IF(OR(Measure_62443_3_3[[#This Row],[Requirement Selected (Prefulfilled)]]="X",Measure_62443_3_3[[#This Row],[Relevance revoked]]="Yes"),"X","")</f>
        <v/>
      </c>
      <c r="G20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0" s="171" t="str">
        <f>IF(OR(Measure_62443_3_3[[#This Row],[Requirement Selected (Prefulfilled + Mitigating)]]="X",Measure_62443_3_3[[#This Row],[Relevance revoked]]="Yes"),"X","")</f>
        <v/>
      </c>
      <c r="I20" s="172" t="str">
        <f>IF(VLOOKUP(Measure_62443_3_3[[#This Row],[FR]],'SL-T'!$A$5:$B$11,2,FALSE)&gt;=Measure_62443_3_3[[#This Row],[lowest SL-T]],"X","")</f>
        <v>X</v>
      </c>
      <c r="J20" s="173" t="s">
        <v>91</v>
      </c>
      <c r="K20" s="174"/>
      <c r="L20" t="s">
        <v>9</v>
      </c>
      <c r="M20" t="s">
        <v>9</v>
      </c>
      <c r="N20" t="s">
        <v>9</v>
      </c>
      <c r="O20" t="s">
        <v>9</v>
      </c>
      <c r="P20" t="s">
        <v>9</v>
      </c>
      <c r="Q20" t="s">
        <v>9</v>
      </c>
      <c r="R20" t="s">
        <v>9</v>
      </c>
      <c r="S20" t="s">
        <v>9</v>
      </c>
      <c r="T20" t="s">
        <v>9</v>
      </c>
      <c r="U20" t="s">
        <v>9</v>
      </c>
      <c r="V20" t="s">
        <v>9</v>
      </c>
      <c r="W20" t="s">
        <v>9</v>
      </c>
      <c r="X20" t="s">
        <v>9</v>
      </c>
      <c r="Y20" t="s">
        <v>9</v>
      </c>
      <c r="Z20" t="s">
        <v>9</v>
      </c>
      <c r="AA20" t="s">
        <v>9</v>
      </c>
      <c r="AB20" t="s">
        <v>9</v>
      </c>
      <c r="AC20" t="s">
        <v>9</v>
      </c>
      <c r="AD20" t="s">
        <v>9</v>
      </c>
      <c r="AE20" t="s">
        <v>9</v>
      </c>
      <c r="AF20" t="s">
        <v>9</v>
      </c>
      <c r="AG20" t="s">
        <v>9</v>
      </c>
      <c r="AH20" t="s">
        <v>9</v>
      </c>
      <c r="AI20" t="s">
        <v>9</v>
      </c>
      <c r="AJ20" t="s">
        <v>9</v>
      </c>
      <c r="AK20" t="s">
        <v>9</v>
      </c>
      <c r="AL20" t="s">
        <v>9</v>
      </c>
      <c r="AM20" t="s">
        <v>9</v>
      </c>
      <c r="AN20" t="s">
        <v>9</v>
      </c>
      <c r="AO20" t="s">
        <v>9</v>
      </c>
      <c r="AP20" t="s">
        <v>9</v>
      </c>
      <c r="AQ20" t="s">
        <v>9</v>
      </c>
      <c r="AR20" t="s">
        <v>9</v>
      </c>
      <c r="AS20" t="s">
        <v>9</v>
      </c>
      <c r="AT20" t="s">
        <v>9</v>
      </c>
      <c r="AU20" t="s">
        <v>9</v>
      </c>
      <c r="AV20" t="s">
        <v>9</v>
      </c>
      <c r="AW20" t="s">
        <v>9</v>
      </c>
      <c r="AX20" t="s">
        <v>9</v>
      </c>
      <c r="AY20" t="s">
        <v>9</v>
      </c>
      <c r="AZ20" t="s">
        <v>9</v>
      </c>
      <c r="BA20" t="s">
        <v>9</v>
      </c>
      <c r="BB20" t="s">
        <v>9</v>
      </c>
      <c r="BC20" t="s">
        <v>9</v>
      </c>
      <c r="BD20" t="s">
        <v>9</v>
      </c>
      <c r="BE20" t="s">
        <v>9</v>
      </c>
    </row>
    <row r="21" spans="1:70">
      <c r="A21" s="169" t="s">
        <v>197</v>
      </c>
      <c r="B21" s="169" t="s">
        <v>47</v>
      </c>
      <c r="C21" s="169">
        <v>2</v>
      </c>
      <c r="D21" s="170" t="s">
        <v>591</v>
      </c>
      <c r="E21" s="171" t="str">
        <f>IF(COUNTIF(Measure_62443_3_3[[#This Row],[G 0.13 Interception of Compromising Interference Signals]:[IND.3.2.3 Insufficient regulations for the use of OT remote maintenance access]],"P")&gt;0,"X","")</f>
        <v/>
      </c>
      <c r="F21" s="171" t="str">
        <f>IF(OR(Measure_62443_3_3[[#This Row],[Requirement Selected (Prefulfilled)]]="X",Measure_62443_3_3[[#This Row],[Relevance revoked]]="Yes"),"X","")</f>
        <v/>
      </c>
      <c r="G21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1" s="171" t="str">
        <f>IF(OR(Measure_62443_3_3[[#This Row],[Requirement Selected (Prefulfilled + Mitigating)]]="X",Measure_62443_3_3[[#This Row],[Relevance revoked]]="Yes"),"X","")</f>
        <v/>
      </c>
      <c r="I21" s="172" t="str">
        <f>IF(VLOOKUP(Measure_62443_3_3[[#This Row],[FR]],'SL-T'!$A$5:$B$11,2,FALSE)&gt;=Measure_62443_3_3[[#This Row],[lowest SL-T]],"X","")</f>
        <v>X</v>
      </c>
      <c r="J21" s="173" t="s">
        <v>91</v>
      </c>
      <c r="K21" s="174"/>
      <c r="L21" t="s">
        <v>9</v>
      </c>
      <c r="M21" t="s">
        <v>9</v>
      </c>
      <c r="N21" t="s">
        <v>9</v>
      </c>
      <c r="O21" t="s">
        <v>9</v>
      </c>
      <c r="P21" t="s">
        <v>9</v>
      </c>
      <c r="Q21" t="s">
        <v>9</v>
      </c>
      <c r="R21" t="s">
        <v>9</v>
      </c>
      <c r="S21" t="s">
        <v>9</v>
      </c>
      <c r="T21" t="s">
        <v>9</v>
      </c>
      <c r="U21" t="s">
        <v>9</v>
      </c>
      <c r="V21" t="s">
        <v>9</v>
      </c>
      <c r="W21" t="s">
        <v>9</v>
      </c>
      <c r="X21" t="s">
        <v>9</v>
      </c>
      <c r="Y21" t="s">
        <v>9</v>
      </c>
      <c r="Z21" t="s">
        <v>9</v>
      </c>
      <c r="AA21" t="s">
        <v>9</v>
      </c>
      <c r="AB21" t="s">
        <v>9</v>
      </c>
      <c r="AC21" t="s">
        <v>9</v>
      </c>
      <c r="AD21" t="s">
        <v>9</v>
      </c>
      <c r="AE21" t="s">
        <v>9</v>
      </c>
      <c r="AF21" t="s">
        <v>9</v>
      </c>
      <c r="AG21" t="s">
        <v>9</v>
      </c>
      <c r="AH21" t="s">
        <v>9</v>
      </c>
      <c r="AI21" t="s">
        <v>9</v>
      </c>
      <c r="AJ21" t="s">
        <v>9</v>
      </c>
      <c r="AK21" t="s">
        <v>9</v>
      </c>
      <c r="AL21" t="s">
        <v>9</v>
      </c>
      <c r="AM21" t="s">
        <v>9</v>
      </c>
      <c r="AN21" t="s">
        <v>9</v>
      </c>
      <c r="AO21" t="s">
        <v>9</v>
      </c>
      <c r="AP21" t="s">
        <v>9</v>
      </c>
      <c r="AQ21" t="s">
        <v>9</v>
      </c>
      <c r="AR21" t="s">
        <v>9</v>
      </c>
      <c r="AS21" t="s">
        <v>9</v>
      </c>
      <c r="AT21" t="s">
        <v>9</v>
      </c>
      <c r="AU21" t="s">
        <v>9</v>
      </c>
      <c r="AV21" t="s">
        <v>9</v>
      </c>
      <c r="AW21" t="s">
        <v>9</v>
      </c>
      <c r="AX21" t="s">
        <v>9</v>
      </c>
      <c r="AY21" t="s">
        <v>9</v>
      </c>
      <c r="AZ21" t="s">
        <v>9</v>
      </c>
      <c r="BA21" t="s">
        <v>9</v>
      </c>
      <c r="BB21" t="s">
        <v>9</v>
      </c>
      <c r="BC21" t="s">
        <v>9</v>
      </c>
      <c r="BD21" t="s">
        <v>9</v>
      </c>
      <c r="BE21" t="s">
        <v>9</v>
      </c>
    </row>
    <row r="22" spans="1:70" hidden="1">
      <c r="A22" s="169" t="s">
        <v>198</v>
      </c>
      <c r="B22" s="169" t="s">
        <v>47</v>
      </c>
      <c r="C22" s="169">
        <v>3</v>
      </c>
      <c r="D22" s="170" t="s">
        <v>591</v>
      </c>
      <c r="E22" s="171" t="str">
        <f>IF(COUNTIF(Measure_62443_3_3[[#This Row],[G 0.13 Interception of Compromising Interference Signals]:[IND.3.2.3 Insufficient regulations for the use of OT remote maintenance access]],"P")&gt;0,"X","")</f>
        <v/>
      </c>
      <c r="F22" s="171" t="str">
        <f>IF(OR(Measure_62443_3_3[[#This Row],[Requirement Selected (Prefulfilled)]]="X",Measure_62443_3_3[[#This Row],[Relevance revoked]]="Yes"),"X","")</f>
        <v/>
      </c>
      <c r="G22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2" s="171" t="str">
        <f>IF(OR(Measure_62443_3_3[[#This Row],[Requirement Selected (Prefulfilled + Mitigating)]]="X",Measure_62443_3_3[[#This Row],[Relevance revoked]]="Yes"),"X","")</f>
        <v/>
      </c>
      <c r="I22" s="172" t="str">
        <f>IF(VLOOKUP(Measure_62443_3_3[[#This Row],[FR]],'SL-T'!$A$5:$B$11,2,FALSE)&gt;=Measure_62443_3_3[[#This Row],[lowest SL-T]],"X","")</f>
        <v/>
      </c>
      <c r="J22" s="173" t="s">
        <v>91</v>
      </c>
      <c r="K22" s="174"/>
      <c r="L22" t="s">
        <v>9</v>
      </c>
      <c r="M22" t="s">
        <v>9</v>
      </c>
      <c r="N22" t="s">
        <v>9</v>
      </c>
      <c r="O22" t="s">
        <v>9</v>
      </c>
      <c r="P22" t="s">
        <v>9</v>
      </c>
      <c r="Q22" t="s">
        <v>9</v>
      </c>
      <c r="R22" t="s">
        <v>9</v>
      </c>
      <c r="S22" t="s">
        <v>9</v>
      </c>
      <c r="T22" t="s">
        <v>9</v>
      </c>
      <c r="U22" t="s">
        <v>9</v>
      </c>
      <c r="V22" t="s">
        <v>9</v>
      </c>
      <c r="W22" t="s">
        <v>9</v>
      </c>
      <c r="X22" t="s">
        <v>9</v>
      </c>
      <c r="Y22" t="s">
        <v>9</v>
      </c>
      <c r="Z22" t="s">
        <v>9</v>
      </c>
      <c r="AA22" t="s">
        <v>9</v>
      </c>
      <c r="AB22" t="s">
        <v>9</v>
      </c>
      <c r="AC22" t="s">
        <v>9</v>
      </c>
      <c r="AD22" t="s">
        <v>9</v>
      </c>
      <c r="AE22" t="s">
        <v>9</v>
      </c>
      <c r="AF22" t="s">
        <v>9</v>
      </c>
      <c r="AG22" t="s">
        <v>9</v>
      </c>
      <c r="AH22" t="s">
        <v>9</v>
      </c>
      <c r="AI22" t="s">
        <v>9</v>
      </c>
      <c r="AJ22" t="s">
        <v>9</v>
      </c>
      <c r="AK22" t="s">
        <v>9</v>
      </c>
      <c r="AL22" t="s">
        <v>9</v>
      </c>
      <c r="AM22" t="s">
        <v>9</v>
      </c>
      <c r="AN22" t="s">
        <v>9</v>
      </c>
      <c r="AO22" t="s">
        <v>9</v>
      </c>
      <c r="AP22" t="s">
        <v>9</v>
      </c>
      <c r="AQ22" t="s">
        <v>9</v>
      </c>
      <c r="AR22" t="s">
        <v>9</v>
      </c>
      <c r="AS22" t="s">
        <v>9</v>
      </c>
      <c r="AT22" t="s">
        <v>9</v>
      </c>
      <c r="AU22" t="s">
        <v>9</v>
      </c>
      <c r="AV22" t="s">
        <v>9</v>
      </c>
      <c r="AW22" t="s">
        <v>9</v>
      </c>
      <c r="AX22" t="s">
        <v>9</v>
      </c>
      <c r="AY22" t="s">
        <v>9</v>
      </c>
      <c r="AZ22" t="s">
        <v>9</v>
      </c>
      <c r="BA22" t="s">
        <v>9</v>
      </c>
      <c r="BB22" t="s">
        <v>9</v>
      </c>
      <c r="BC22" t="s">
        <v>9</v>
      </c>
      <c r="BD22" t="s">
        <v>9</v>
      </c>
      <c r="BE22" t="s">
        <v>9</v>
      </c>
    </row>
    <row r="23" spans="1:70">
      <c r="A23" s="169" t="s">
        <v>199</v>
      </c>
      <c r="B23" s="169" t="s">
        <v>47</v>
      </c>
      <c r="C23" s="169">
        <v>1</v>
      </c>
      <c r="D23" s="170" t="s">
        <v>591</v>
      </c>
      <c r="E23" s="171" t="str">
        <f>IF(COUNTIF(Measure_62443_3_3[[#This Row],[G 0.13 Interception of Compromising Interference Signals]:[IND.3.2.3 Insufficient regulations for the use of OT remote maintenance access]],"P")&gt;0,"X","")</f>
        <v/>
      </c>
      <c r="F23" s="171" t="str">
        <f>IF(OR(Measure_62443_3_3[[#This Row],[Requirement Selected (Prefulfilled)]]="X",Measure_62443_3_3[[#This Row],[Relevance revoked]]="Yes"),"X","")</f>
        <v/>
      </c>
      <c r="G23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3" s="171" t="str">
        <f>IF(OR(Measure_62443_3_3[[#This Row],[Requirement Selected (Prefulfilled + Mitigating)]]="X",Measure_62443_3_3[[#This Row],[Relevance revoked]]="Yes"),"X","")</f>
        <v/>
      </c>
      <c r="I23" s="172" t="str">
        <f>IF(VLOOKUP(Measure_62443_3_3[[#This Row],[FR]],'SL-T'!$A$5:$B$11,2,FALSE)&gt;=Measure_62443_3_3[[#This Row],[lowest SL-T]],"X","")</f>
        <v>X</v>
      </c>
      <c r="J23" s="173" t="s">
        <v>91</v>
      </c>
      <c r="K23" s="174"/>
      <c r="L23" t="s">
        <v>9</v>
      </c>
      <c r="M23" t="s">
        <v>9</v>
      </c>
      <c r="N23" t="s">
        <v>9</v>
      </c>
      <c r="O23" t="s">
        <v>9</v>
      </c>
      <c r="P23" t="s">
        <v>9</v>
      </c>
      <c r="Q23" t="s">
        <v>9</v>
      </c>
      <c r="R23" t="s">
        <v>9</v>
      </c>
      <c r="S23" t="s">
        <v>9</v>
      </c>
      <c r="T23" t="s">
        <v>9</v>
      </c>
      <c r="U23" t="s">
        <v>9</v>
      </c>
      <c r="V23" t="s">
        <v>9</v>
      </c>
      <c r="W23" t="s">
        <v>9</v>
      </c>
      <c r="X23" t="s">
        <v>9</v>
      </c>
      <c r="Y23" t="s">
        <v>9</v>
      </c>
      <c r="Z23" t="s">
        <v>9</v>
      </c>
      <c r="AA23" t="s">
        <v>9</v>
      </c>
      <c r="AB23" t="s">
        <v>9</v>
      </c>
      <c r="AC23" t="s">
        <v>9</v>
      </c>
      <c r="AD23" t="s">
        <v>9</v>
      </c>
      <c r="AE23" t="s">
        <v>9</v>
      </c>
      <c r="AF23" t="s">
        <v>9</v>
      </c>
      <c r="AG23" t="s">
        <v>9</v>
      </c>
      <c r="AH23" t="s">
        <v>9</v>
      </c>
      <c r="AI23" t="s">
        <v>9</v>
      </c>
      <c r="AJ23" t="s">
        <v>9</v>
      </c>
      <c r="AK23" t="s">
        <v>9</v>
      </c>
      <c r="AL23" t="s">
        <v>9</v>
      </c>
      <c r="AM23" t="s">
        <v>9</v>
      </c>
      <c r="AN23" t="s">
        <v>9</v>
      </c>
      <c r="AO23" t="s">
        <v>9</v>
      </c>
      <c r="AP23" t="s">
        <v>9</v>
      </c>
      <c r="AQ23" t="s">
        <v>9</v>
      </c>
      <c r="AR23" t="s">
        <v>9</v>
      </c>
      <c r="AS23" t="s">
        <v>9</v>
      </c>
      <c r="AT23" t="s">
        <v>9</v>
      </c>
      <c r="AU23" t="s">
        <v>9</v>
      </c>
      <c r="AV23" t="s">
        <v>9</v>
      </c>
      <c r="AW23" t="s">
        <v>9</v>
      </c>
      <c r="AX23" t="s">
        <v>9</v>
      </c>
      <c r="AY23" t="s">
        <v>9</v>
      </c>
      <c r="AZ23" t="s">
        <v>9</v>
      </c>
      <c r="BA23" t="s">
        <v>9</v>
      </c>
      <c r="BB23" t="s">
        <v>9</v>
      </c>
      <c r="BC23" t="s">
        <v>9</v>
      </c>
      <c r="BD23" t="s">
        <v>9</v>
      </c>
      <c r="BE23" t="s">
        <v>9</v>
      </c>
      <c r="BF23" t="s">
        <v>9</v>
      </c>
      <c r="BG23" t="s">
        <v>9</v>
      </c>
      <c r="BH23" t="s">
        <v>9</v>
      </c>
      <c r="BI23" t="s">
        <v>9</v>
      </c>
      <c r="BJ23" t="s">
        <v>9</v>
      </c>
      <c r="BK23" t="s">
        <v>9</v>
      </c>
      <c r="BL23" t="s">
        <v>9</v>
      </c>
      <c r="BM23" t="s">
        <v>9</v>
      </c>
      <c r="BN23" t="s">
        <v>9</v>
      </c>
      <c r="BO23" t="s">
        <v>9</v>
      </c>
      <c r="BP23" t="s">
        <v>9</v>
      </c>
      <c r="BQ23" t="s">
        <v>9</v>
      </c>
      <c r="BR23" t="s">
        <v>9</v>
      </c>
    </row>
    <row r="24" spans="1:70">
      <c r="A24" s="169" t="s">
        <v>200</v>
      </c>
      <c r="B24" s="169" t="s">
        <v>47</v>
      </c>
      <c r="C24" s="169">
        <v>1</v>
      </c>
      <c r="D24" s="170" t="s">
        <v>591</v>
      </c>
      <c r="E24" s="171" t="str">
        <f>IF(COUNTIF(Measure_62443_3_3[[#This Row],[G 0.13 Interception of Compromising Interference Signals]:[IND.3.2.3 Insufficient regulations for the use of OT remote maintenance access]],"P")&gt;0,"X","")</f>
        <v/>
      </c>
      <c r="F24" s="171" t="str">
        <f>IF(OR(Measure_62443_3_3[[#This Row],[Requirement Selected (Prefulfilled)]]="X",Measure_62443_3_3[[#This Row],[Relevance revoked]]="Yes"),"X","")</f>
        <v/>
      </c>
      <c r="G24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4" s="171" t="str">
        <f>IF(OR(Measure_62443_3_3[[#This Row],[Requirement Selected (Prefulfilled + Mitigating)]]="X",Measure_62443_3_3[[#This Row],[Relevance revoked]]="Yes"),"X","")</f>
        <v/>
      </c>
      <c r="I24" s="172" t="str">
        <f>IF(VLOOKUP(Measure_62443_3_3[[#This Row],[FR]],'SL-T'!$A$5:$B$11,2,FALSE)&gt;=Measure_62443_3_3[[#This Row],[lowest SL-T]],"X","")</f>
        <v>X</v>
      </c>
      <c r="J24" s="173" t="s">
        <v>91</v>
      </c>
      <c r="K24" s="174"/>
      <c r="L24" t="s">
        <v>9</v>
      </c>
      <c r="M24" t="s">
        <v>9</v>
      </c>
      <c r="N24" t="s">
        <v>9</v>
      </c>
      <c r="O24" t="s">
        <v>9</v>
      </c>
      <c r="P24" t="s">
        <v>9</v>
      </c>
      <c r="Q24" t="s">
        <v>9</v>
      </c>
      <c r="R24" t="s">
        <v>9</v>
      </c>
      <c r="S24" t="s">
        <v>9</v>
      </c>
      <c r="T24" t="s">
        <v>9</v>
      </c>
      <c r="U24" t="s">
        <v>9</v>
      </c>
      <c r="V24" t="s">
        <v>9</v>
      </c>
      <c r="W24" t="s">
        <v>9</v>
      </c>
      <c r="X24" t="s">
        <v>9</v>
      </c>
      <c r="Y24" t="s">
        <v>9</v>
      </c>
      <c r="Z24" t="s">
        <v>9</v>
      </c>
      <c r="AA24" t="s">
        <v>9</v>
      </c>
      <c r="AB24" t="s">
        <v>9</v>
      </c>
      <c r="AC24" t="s">
        <v>9</v>
      </c>
      <c r="AD24" t="s">
        <v>9</v>
      </c>
      <c r="AE24" t="s">
        <v>9</v>
      </c>
      <c r="AF24" t="s">
        <v>9</v>
      </c>
      <c r="AG24" t="s">
        <v>9</v>
      </c>
      <c r="AH24" t="s">
        <v>9</v>
      </c>
      <c r="AI24" t="s">
        <v>9</v>
      </c>
      <c r="AJ24" t="s">
        <v>9</v>
      </c>
      <c r="AK24" t="s">
        <v>9</v>
      </c>
      <c r="AL24" t="s">
        <v>9</v>
      </c>
      <c r="AM24" t="s">
        <v>9</v>
      </c>
      <c r="AN24" t="s">
        <v>9</v>
      </c>
      <c r="AO24" t="s">
        <v>9</v>
      </c>
      <c r="AP24" t="s">
        <v>9</v>
      </c>
      <c r="AQ24" t="s">
        <v>9</v>
      </c>
      <c r="AR24" t="s">
        <v>9</v>
      </c>
      <c r="AS24" t="s">
        <v>9</v>
      </c>
      <c r="AT24" t="s">
        <v>9</v>
      </c>
      <c r="AU24" t="s">
        <v>9</v>
      </c>
      <c r="AV24" t="s">
        <v>9</v>
      </c>
      <c r="AW24" t="s">
        <v>9</v>
      </c>
      <c r="AX24" t="s">
        <v>9</v>
      </c>
      <c r="AY24" t="s">
        <v>9</v>
      </c>
      <c r="AZ24" t="s">
        <v>9</v>
      </c>
      <c r="BA24" t="s">
        <v>9</v>
      </c>
      <c r="BB24" t="s">
        <v>9</v>
      </c>
      <c r="BC24" t="s">
        <v>9</v>
      </c>
      <c r="BD24" t="s">
        <v>9</v>
      </c>
      <c r="BE24" t="s">
        <v>9</v>
      </c>
      <c r="BF24" t="s">
        <v>9</v>
      </c>
      <c r="BG24" t="s">
        <v>9</v>
      </c>
      <c r="BH24" t="s">
        <v>9</v>
      </c>
      <c r="BI24" t="s">
        <v>9</v>
      </c>
      <c r="BJ24" t="s">
        <v>9</v>
      </c>
      <c r="BK24" t="s">
        <v>9</v>
      </c>
      <c r="BL24" t="s">
        <v>9</v>
      </c>
      <c r="BM24" t="s">
        <v>9</v>
      </c>
      <c r="BN24" t="s">
        <v>9</v>
      </c>
      <c r="BO24" t="s">
        <v>9</v>
      </c>
      <c r="BP24" t="s">
        <v>9</v>
      </c>
      <c r="BQ24" t="s">
        <v>9</v>
      </c>
      <c r="BR24" t="s">
        <v>9</v>
      </c>
    </row>
    <row r="25" spans="1:70">
      <c r="A25" s="169" t="s">
        <v>201</v>
      </c>
      <c r="B25" s="169" t="s">
        <v>47</v>
      </c>
      <c r="C25" s="169">
        <v>1</v>
      </c>
      <c r="D25" s="170" t="s">
        <v>591</v>
      </c>
      <c r="E25" s="171" t="str">
        <f>IF(COUNTIF(Measure_62443_3_3[[#This Row],[G 0.13 Interception of Compromising Interference Signals]:[IND.3.2.3 Insufficient regulations for the use of OT remote maintenance access]],"P")&gt;0,"X","")</f>
        <v/>
      </c>
      <c r="F25" s="171" t="str">
        <f>IF(OR(Measure_62443_3_3[[#This Row],[Requirement Selected (Prefulfilled)]]="X",Measure_62443_3_3[[#This Row],[Relevance revoked]]="Yes"),"X","")</f>
        <v/>
      </c>
      <c r="G25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5" s="171" t="str">
        <f>IF(OR(Measure_62443_3_3[[#This Row],[Requirement Selected (Prefulfilled + Mitigating)]]="X",Measure_62443_3_3[[#This Row],[Relevance revoked]]="Yes"),"X","")</f>
        <v/>
      </c>
      <c r="I25" s="172" t="str">
        <f>IF(VLOOKUP(Measure_62443_3_3[[#This Row],[FR]],'SL-T'!$A$5:$B$11,2,FALSE)&gt;=Measure_62443_3_3[[#This Row],[lowest SL-T]],"X","")</f>
        <v>X</v>
      </c>
      <c r="J25" s="173" t="s">
        <v>91</v>
      </c>
      <c r="K25" s="174"/>
      <c r="L25" t="s">
        <v>9</v>
      </c>
      <c r="M25" t="s">
        <v>9</v>
      </c>
      <c r="N25" t="s">
        <v>9</v>
      </c>
      <c r="O25" t="s">
        <v>9</v>
      </c>
      <c r="P25" t="s">
        <v>9</v>
      </c>
      <c r="Q25" t="s">
        <v>9</v>
      </c>
      <c r="R25" t="s">
        <v>9</v>
      </c>
      <c r="S25" t="s">
        <v>9</v>
      </c>
      <c r="T25" t="s">
        <v>9</v>
      </c>
      <c r="U25" t="s">
        <v>9</v>
      </c>
      <c r="V25" t="s">
        <v>9</v>
      </c>
      <c r="W25" t="s">
        <v>9</v>
      </c>
      <c r="X25" t="s">
        <v>9</v>
      </c>
      <c r="Y25" t="s">
        <v>9</v>
      </c>
      <c r="Z25" t="s">
        <v>9</v>
      </c>
      <c r="AA25" t="s">
        <v>9</v>
      </c>
      <c r="AB25" t="s">
        <v>9</v>
      </c>
      <c r="AC25" t="s">
        <v>9</v>
      </c>
      <c r="AD25" t="s">
        <v>9</v>
      </c>
      <c r="AE25" t="s">
        <v>9</v>
      </c>
      <c r="AF25" t="s">
        <v>9</v>
      </c>
      <c r="AG25" t="s">
        <v>9</v>
      </c>
      <c r="AH25" t="s">
        <v>9</v>
      </c>
      <c r="AI25" t="s">
        <v>9</v>
      </c>
      <c r="AJ25" t="s">
        <v>9</v>
      </c>
      <c r="AK25" t="s">
        <v>9</v>
      </c>
      <c r="AL25" t="s">
        <v>9</v>
      </c>
      <c r="AM25" t="s">
        <v>9</v>
      </c>
      <c r="AN25" t="s">
        <v>9</v>
      </c>
      <c r="AO25" t="s">
        <v>9</v>
      </c>
      <c r="AP25" t="s">
        <v>9</v>
      </c>
      <c r="AQ25" t="s">
        <v>9</v>
      </c>
      <c r="AR25" t="s">
        <v>9</v>
      </c>
      <c r="AS25" t="s">
        <v>9</v>
      </c>
      <c r="AT25" t="s">
        <v>9</v>
      </c>
      <c r="AU25" t="s">
        <v>9</v>
      </c>
      <c r="AV25" t="s">
        <v>9</v>
      </c>
      <c r="AW25" t="s">
        <v>9</v>
      </c>
      <c r="AX25" t="s">
        <v>9</v>
      </c>
      <c r="AY25" t="s">
        <v>9</v>
      </c>
      <c r="AZ25" t="s">
        <v>9</v>
      </c>
      <c r="BA25" t="s">
        <v>9</v>
      </c>
      <c r="BB25" t="s">
        <v>9</v>
      </c>
      <c r="BC25" t="s">
        <v>9</v>
      </c>
      <c r="BD25" t="s">
        <v>9</v>
      </c>
      <c r="BE25" t="s">
        <v>9</v>
      </c>
      <c r="BF25" t="s">
        <v>9</v>
      </c>
      <c r="BG25" t="s">
        <v>9</v>
      </c>
      <c r="BH25" t="s">
        <v>9</v>
      </c>
      <c r="BI25" t="s">
        <v>9</v>
      </c>
      <c r="BJ25" t="s">
        <v>9</v>
      </c>
      <c r="BK25" t="s">
        <v>9</v>
      </c>
      <c r="BL25" t="s">
        <v>9</v>
      </c>
      <c r="BM25" t="s">
        <v>9</v>
      </c>
      <c r="BN25" t="s">
        <v>9</v>
      </c>
      <c r="BO25" t="s">
        <v>9</v>
      </c>
      <c r="BP25" t="s">
        <v>9</v>
      </c>
      <c r="BQ25" t="s">
        <v>9</v>
      </c>
      <c r="BR25" t="s">
        <v>9</v>
      </c>
    </row>
    <row r="26" spans="1:70">
      <c r="A26" s="169" t="s">
        <v>202</v>
      </c>
      <c r="B26" s="169" t="s">
        <v>47</v>
      </c>
      <c r="C26" s="169">
        <v>1</v>
      </c>
      <c r="D26" s="170" t="s">
        <v>591</v>
      </c>
      <c r="E26" s="171" t="str">
        <f>IF(COUNTIF(Measure_62443_3_3[[#This Row],[G 0.13 Interception of Compromising Interference Signals]:[IND.3.2.3 Insufficient regulations for the use of OT remote maintenance access]],"P")&gt;0,"X","")</f>
        <v/>
      </c>
      <c r="F26" s="171" t="str">
        <f>IF(OR(Measure_62443_3_3[[#This Row],[Requirement Selected (Prefulfilled)]]="X",Measure_62443_3_3[[#This Row],[Relevance revoked]]="Yes"),"X","")</f>
        <v/>
      </c>
      <c r="G26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6" s="171" t="str">
        <f>IF(OR(Measure_62443_3_3[[#This Row],[Requirement Selected (Prefulfilled + Mitigating)]]="X",Measure_62443_3_3[[#This Row],[Relevance revoked]]="Yes"),"X","")</f>
        <v/>
      </c>
      <c r="I26" s="172" t="str">
        <f>IF(VLOOKUP(Measure_62443_3_3[[#This Row],[FR]],'SL-T'!$A$5:$B$11,2,FALSE)&gt;=Measure_62443_3_3[[#This Row],[lowest SL-T]],"X","")</f>
        <v>X</v>
      </c>
      <c r="J26" s="173" t="s">
        <v>91</v>
      </c>
      <c r="K26" s="174"/>
      <c r="L26" t="s">
        <v>9</v>
      </c>
      <c r="M26" t="s">
        <v>9</v>
      </c>
      <c r="N26" t="s">
        <v>9</v>
      </c>
      <c r="O26" t="s">
        <v>9</v>
      </c>
      <c r="P26" t="s">
        <v>9</v>
      </c>
      <c r="Q26" t="s">
        <v>9</v>
      </c>
      <c r="R26" t="s">
        <v>9</v>
      </c>
      <c r="S26" t="s">
        <v>9</v>
      </c>
      <c r="T26" t="s">
        <v>9</v>
      </c>
      <c r="U26" t="s">
        <v>9</v>
      </c>
      <c r="V26" t="s">
        <v>9</v>
      </c>
      <c r="W26" t="s">
        <v>9</v>
      </c>
      <c r="X26" t="s">
        <v>9</v>
      </c>
      <c r="Y26" t="s">
        <v>9</v>
      </c>
      <c r="Z26" t="s">
        <v>9</v>
      </c>
      <c r="AA26" t="s">
        <v>9</v>
      </c>
      <c r="AB26" t="s">
        <v>9</v>
      </c>
      <c r="AC26" t="s">
        <v>9</v>
      </c>
      <c r="AD26" t="s">
        <v>9</v>
      </c>
      <c r="AE26" t="s">
        <v>9</v>
      </c>
      <c r="AF26" t="s">
        <v>9</v>
      </c>
      <c r="AG26" t="s">
        <v>9</v>
      </c>
      <c r="AH26" t="s">
        <v>9</v>
      </c>
      <c r="AI26" t="s">
        <v>9</v>
      </c>
      <c r="AJ26" t="s">
        <v>9</v>
      </c>
      <c r="AK26" t="s">
        <v>9</v>
      </c>
      <c r="AL26" t="s">
        <v>9</v>
      </c>
      <c r="AM26" t="s">
        <v>9</v>
      </c>
      <c r="AN26" t="s">
        <v>9</v>
      </c>
      <c r="AO26" t="s">
        <v>9</v>
      </c>
      <c r="AP26" t="s">
        <v>9</v>
      </c>
      <c r="AQ26" t="s">
        <v>9</v>
      </c>
      <c r="AR26" t="s">
        <v>9</v>
      </c>
      <c r="AS26" t="s">
        <v>9</v>
      </c>
      <c r="AT26" t="s">
        <v>9</v>
      </c>
      <c r="AU26" t="s">
        <v>9</v>
      </c>
      <c r="AV26" t="s">
        <v>9</v>
      </c>
      <c r="AW26" t="s">
        <v>9</v>
      </c>
      <c r="AX26" t="s">
        <v>9</v>
      </c>
      <c r="AY26" t="s">
        <v>9</v>
      </c>
      <c r="AZ26" t="s">
        <v>9</v>
      </c>
      <c r="BA26" t="s">
        <v>9</v>
      </c>
      <c r="BB26" t="s">
        <v>9</v>
      </c>
      <c r="BC26" t="s">
        <v>9</v>
      </c>
      <c r="BD26" t="s">
        <v>9</v>
      </c>
      <c r="BE26" t="s">
        <v>9</v>
      </c>
      <c r="BF26" t="s">
        <v>9</v>
      </c>
      <c r="BG26" t="s">
        <v>9</v>
      </c>
      <c r="BH26" t="s">
        <v>9</v>
      </c>
      <c r="BI26" t="s">
        <v>9</v>
      </c>
      <c r="BJ26" t="s">
        <v>9</v>
      </c>
      <c r="BK26" t="s">
        <v>9</v>
      </c>
      <c r="BL26" t="s">
        <v>9</v>
      </c>
      <c r="BM26" t="s">
        <v>9</v>
      </c>
      <c r="BN26" t="s">
        <v>9</v>
      </c>
      <c r="BO26" t="s">
        <v>9</v>
      </c>
      <c r="BP26" t="s">
        <v>9</v>
      </c>
      <c r="BQ26" t="s">
        <v>9</v>
      </c>
      <c r="BR26" t="s">
        <v>9</v>
      </c>
    </row>
    <row r="27" spans="1:70">
      <c r="A27" s="169" t="s">
        <v>203</v>
      </c>
      <c r="B27" s="169" t="s">
        <v>47</v>
      </c>
      <c r="C27" s="169">
        <v>2</v>
      </c>
      <c r="D27" s="170" t="s">
        <v>591</v>
      </c>
      <c r="E27" s="171" t="str">
        <f>IF(COUNTIF(Measure_62443_3_3[[#This Row],[G 0.13 Interception of Compromising Interference Signals]:[IND.3.2.3 Insufficient regulations for the use of OT remote maintenance access]],"P")&gt;0,"X","")</f>
        <v/>
      </c>
      <c r="F27" s="171" t="str">
        <f>IF(OR(Measure_62443_3_3[[#This Row],[Requirement Selected (Prefulfilled)]]="X",Measure_62443_3_3[[#This Row],[Relevance revoked]]="Yes"),"X","")</f>
        <v/>
      </c>
      <c r="G27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7" s="171" t="str">
        <f>IF(OR(Measure_62443_3_3[[#This Row],[Requirement Selected (Prefulfilled + Mitigating)]]="X",Measure_62443_3_3[[#This Row],[Relevance revoked]]="Yes"),"X","")</f>
        <v/>
      </c>
      <c r="I27" s="172" t="str">
        <f>IF(VLOOKUP(Measure_62443_3_3[[#This Row],[FR]],'SL-T'!$A$5:$B$11,2,FALSE)&gt;=Measure_62443_3_3[[#This Row],[lowest SL-T]],"X","")</f>
        <v>X</v>
      </c>
      <c r="J27" s="173" t="s">
        <v>91</v>
      </c>
      <c r="K27" s="174"/>
      <c r="L27" t="s">
        <v>9</v>
      </c>
      <c r="M27" t="s">
        <v>9</v>
      </c>
      <c r="N27" t="s">
        <v>9</v>
      </c>
      <c r="O27" t="s">
        <v>9</v>
      </c>
      <c r="P27" t="s">
        <v>9</v>
      </c>
      <c r="Q27" t="s">
        <v>9</v>
      </c>
      <c r="R27" t="s">
        <v>9</v>
      </c>
      <c r="S27" t="s">
        <v>9</v>
      </c>
      <c r="T27" t="s">
        <v>9</v>
      </c>
      <c r="U27" t="s">
        <v>9</v>
      </c>
      <c r="V27" t="s">
        <v>9</v>
      </c>
      <c r="W27" t="s">
        <v>9</v>
      </c>
      <c r="X27" t="s">
        <v>9</v>
      </c>
      <c r="Y27" t="s">
        <v>9</v>
      </c>
      <c r="Z27" t="s">
        <v>9</v>
      </c>
      <c r="AA27" t="s">
        <v>9</v>
      </c>
      <c r="AB27" t="s">
        <v>9</v>
      </c>
      <c r="AC27" t="s">
        <v>9</v>
      </c>
      <c r="AD27" t="s">
        <v>9</v>
      </c>
      <c r="AE27" t="s">
        <v>9</v>
      </c>
      <c r="AF27" t="s">
        <v>9</v>
      </c>
      <c r="AG27" t="s">
        <v>9</v>
      </c>
      <c r="AH27" t="s">
        <v>9</v>
      </c>
      <c r="AI27" t="s">
        <v>9</v>
      </c>
      <c r="AJ27" t="s">
        <v>9</v>
      </c>
      <c r="AK27" t="s">
        <v>9</v>
      </c>
      <c r="AL27" t="s">
        <v>9</v>
      </c>
      <c r="AM27" t="s">
        <v>9</v>
      </c>
      <c r="AN27" t="s">
        <v>9</v>
      </c>
      <c r="AO27" t="s">
        <v>9</v>
      </c>
      <c r="AP27" t="s">
        <v>9</v>
      </c>
      <c r="AQ27" t="s">
        <v>9</v>
      </c>
      <c r="AR27" t="s">
        <v>9</v>
      </c>
      <c r="AS27" t="s">
        <v>9</v>
      </c>
      <c r="AT27" t="s">
        <v>9</v>
      </c>
      <c r="AU27" t="s">
        <v>9</v>
      </c>
      <c r="AV27" t="s">
        <v>9</v>
      </c>
      <c r="AW27" t="s">
        <v>9</v>
      </c>
      <c r="AX27" t="s">
        <v>9</v>
      </c>
      <c r="AY27" t="s">
        <v>9</v>
      </c>
      <c r="AZ27" t="s">
        <v>9</v>
      </c>
      <c r="BA27" t="s">
        <v>9</v>
      </c>
      <c r="BB27" t="s">
        <v>9</v>
      </c>
      <c r="BC27" t="s">
        <v>9</v>
      </c>
      <c r="BD27" t="s">
        <v>9</v>
      </c>
      <c r="BE27" t="s">
        <v>9</v>
      </c>
    </row>
    <row r="28" spans="1:70">
      <c r="A28" s="169" t="s">
        <v>204</v>
      </c>
      <c r="B28" s="169" t="s">
        <v>48</v>
      </c>
      <c r="C28" s="169">
        <v>1</v>
      </c>
      <c r="D28" s="170" t="s">
        <v>591</v>
      </c>
      <c r="E28" s="170" t="str">
        <f>IF(COUNTIF(Measure_62443_3_3[[#This Row],[G 0.13 Interception of Compromising Interference Signals]:[IND.3.2.3 Insufficient regulations for the use of OT remote maintenance access]],"P")&gt;0,"X","")</f>
        <v/>
      </c>
      <c r="F28" s="170" t="str">
        <f>IF(OR(Measure_62443_3_3[[#This Row],[Requirement Selected (Prefulfilled)]]="X",Measure_62443_3_3[[#This Row],[Relevance revoked]]="Yes"),"X","")</f>
        <v/>
      </c>
      <c r="G2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8" s="170" t="str">
        <f>IF(OR(Measure_62443_3_3[[#This Row],[Requirement Selected (Prefulfilled + Mitigating)]]="X",Measure_62443_3_3[[#This Row],[Relevance revoked]]="Yes"),"X","")</f>
        <v/>
      </c>
      <c r="I28" s="172" t="str">
        <f>IF(VLOOKUP(Measure_62443_3_3[[#This Row],[FR]],'SL-T'!$A$5:$B$11,2,FALSE)&gt;=Measure_62443_3_3[[#This Row],[lowest SL-T]],"X","")</f>
        <v>X</v>
      </c>
      <c r="J28" s="173" t="s">
        <v>91</v>
      </c>
      <c r="K28" s="174"/>
      <c r="L28" t="s">
        <v>9</v>
      </c>
      <c r="M28" t="s">
        <v>9</v>
      </c>
      <c r="N28" t="s">
        <v>9</v>
      </c>
      <c r="O28" t="s">
        <v>9</v>
      </c>
      <c r="P28" t="s">
        <v>9</v>
      </c>
      <c r="Q28" t="s">
        <v>9</v>
      </c>
      <c r="R28" t="s">
        <v>9</v>
      </c>
      <c r="S28" t="s">
        <v>9</v>
      </c>
      <c r="T28" t="s">
        <v>9</v>
      </c>
      <c r="U28" t="s">
        <v>9</v>
      </c>
      <c r="V28" t="s">
        <v>9</v>
      </c>
      <c r="W28" t="s">
        <v>9</v>
      </c>
      <c r="X28" t="s">
        <v>9</v>
      </c>
      <c r="Y28" t="s">
        <v>9</v>
      </c>
      <c r="Z28" t="s">
        <v>9</v>
      </c>
      <c r="AA28" t="s">
        <v>9</v>
      </c>
      <c r="AB28" t="s">
        <v>9</v>
      </c>
      <c r="AC28" t="s">
        <v>9</v>
      </c>
      <c r="AD28" t="s">
        <v>9</v>
      </c>
      <c r="AE28" t="s">
        <v>9</v>
      </c>
      <c r="AF28" t="s">
        <v>9</v>
      </c>
      <c r="AG28" t="s">
        <v>9</v>
      </c>
      <c r="AH28" t="s">
        <v>9</v>
      </c>
      <c r="AI28" t="s">
        <v>9</v>
      </c>
      <c r="AJ28" t="s">
        <v>9</v>
      </c>
      <c r="AK28" t="s">
        <v>9</v>
      </c>
      <c r="AL28" t="s">
        <v>9</v>
      </c>
      <c r="AM28" t="s">
        <v>9</v>
      </c>
      <c r="AN28" t="s">
        <v>9</v>
      </c>
      <c r="AO28" t="s">
        <v>9</v>
      </c>
      <c r="AP28" t="s">
        <v>9</v>
      </c>
      <c r="AQ28" t="s">
        <v>9</v>
      </c>
      <c r="AR28" t="s">
        <v>9</v>
      </c>
      <c r="AS28" t="s">
        <v>9</v>
      </c>
      <c r="AT28" t="s">
        <v>9</v>
      </c>
      <c r="AU28" t="s">
        <v>9</v>
      </c>
      <c r="AV28" t="s">
        <v>9</v>
      </c>
      <c r="AW28" t="s">
        <v>9</v>
      </c>
      <c r="AX28" t="s">
        <v>9</v>
      </c>
      <c r="AY28" t="s">
        <v>9</v>
      </c>
      <c r="AZ28" t="s">
        <v>9</v>
      </c>
      <c r="BA28" t="s">
        <v>9</v>
      </c>
      <c r="BB28" t="s">
        <v>9</v>
      </c>
      <c r="BC28" t="s">
        <v>9</v>
      </c>
      <c r="BD28" t="s">
        <v>9</v>
      </c>
      <c r="BE28" t="s">
        <v>9</v>
      </c>
      <c r="BF28" t="s">
        <v>9</v>
      </c>
      <c r="BG28" t="s">
        <v>9</v>
      </c>
      <c r="BH28" t="s">
        <v>9</v>
      </c>
      <c r="BI28" t="s">
        <v>9</v>
      </c>
      <c r="BJ28" t="s">
        <v>9</v>
      </c>
      <c r="BK28" t="s">
        <v>9</v>
      </c>
      <c r="BL28" t="s">
        <v>9</v>
      </c>
      <c r="BM28" t="s">
        <v>9</v>
      </c>
      <c r="BN28" t="s">
        <v>9</v>
      </c>
      <c r="BO28" t="s">
        <v>9</v>
      </c>
      <c r="BP28" t="s">
        <v>9</v>
      </c>
      <c r="BQ28" t="s">
        <v>9</v>
      </c>
      <c r="BR28" t="s">
        <v>9</v>
      </c>
    </row>
    <row r="29" spans="1:70">
      <c r="A29" s="169" t="s">
        <v>205</v>
      </c>
      <c r="B29" s="169" t="s">
        <v>48</v>
      </c>
      <c r="C29" s="169">
        <v>2</v>
      </c>
      <c r="D29" s="170" t="s">
        <v>591</v>
      </c>
      <c r="E29" s="170" t="str">
        <f>IF(COUNTIF(Measure_62443_3_3[[#This Row],[G 0.13 Interception of Compromising Interference Signals]:[IND.3.2.3 Insufficient regulations for the use of OT remote maintenance access]],"P")&gt;0,"X","")</f>
        <v/>
      </c>
      <c r="F29" s="170" t="str">
        <f>IF(OR(Measure_62443_3_3[[#This Row],[Requirement Selected (Prefulfilled)]]="X",Measure_62443_3_3[[#This Row],[Relevance revoked]]="Yes"),"X","")</f>
        <v/>
      </c>
      <c r="G2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29" s="170" t="str">
        <f>IF(OR(Measure_62443_3_3[[#This Row],[Requirement Selected (Prefulfilled + Mitigating)]]="X",Measure_62443_3_3[[#This Row],[Relevance revoked]]="Yes"),"X","")</f>
        <v/>
      </c>
      <c r="I29" s="172" t="str">
        <f>IF(VLOOKUP(Measure_62443_3_3[[#This Row],[FR]],'SL-T'!$A$5:$B$11,2,FALSE)&gt;=Measure_62443_3_3[[#This Row],[lowest SL-T]],"X","")</f>
        <v>X</v>
      </c>
      <c r="J29" s="173" t="s">
        <v>91</v>
      </c>
      <c r="K29" s="174"/>
      <c r="L29" t="s">
        <v>9</v>
      </c>
      <c r="M29" t="s">
        <v>9</v>
      </c>
      <c r="N29" t="s">
        <v>9</v>
      </c>
      <c r="O29" t="s">
        <v>9</v>
      </c>
      <c r="P29" t="s">
        <v>9</v>
      </c>
      <c r="Q29" t="s">
        <v>9</v>
      </c>
      <c r="R29" t="s">
        <v>9</v>
      </c>
      <c r="S29" t="s">
        <v>9</v>
      </c>
      <c r="T29" t="s">
        <v>9</v>
      </c>
      <c r="U29" t="s">
        <v>9</v>
      </c>
      <c r="V29" t="s">
        <v>9</v>
      </c>
      <c r="W29" t="s">
        <v>9</v>
      </c>
      <c r="X29" t="s">
        <v>9</v>
      </c>
      <c r="Y29" t="s">
        <v>9</v>
      </c>
      <c r="Z29" t="s">
        <v>9</v>
      </c>
      <c r="AA29" t="s">
        <v>9</v>
      </c>
      <c r="AB29" t="s">
        <v>9</v>
      </c>
      <c r="AC29" t="s">
        <v>9</v>
      </c>
      <c r="AD29" t="s">
        <v>9</v>
      </c>
      <c r="AE29" t="s">
        <v>9</v>
      </c>
      <c r="AF29" t="s">
        <v>9</v>
      </c>
      <c r="AG29" t="s">
        <v>9</v>
      </c>
      <c r="AH29" t="s">
        <v>9</v>
      </c>
      <c r="AI29" t="s">
        <v>9</v>
      </c>
      <c r="AJ29" t="s">
        <v>9</v>
      </c>
      <c r="AK29" t="s">
        <v>9</v>
      </c>
      <c r="AL29" t="s">
        <v>9</v>
      </c>
      <c r="AM29" t="s">
        <v>9</v>
      </c>
      <c r="AN29" t="s">
        <v>9</v>
      </c>
      <c r="AO29" t="s">
        <v>9</v>
      </c>
      <c r="AP29" t="s">
        <v>9</v>
      </c>
      <c r="AQ29" t="s">
        <v>9</v>
      </c>
      <c r="AR29" t="s">
        <v>9</v>
      </c>
      <c r="AS29" t="s">
        <v>9</v>
      </c>
      <c r="AT29" t="s">
        <v>9</v>
      </c>
      <c r="AU29" t="s">
        <v>9</v>
      </c>
      <c r="AV29" t="s">
        <v>9</v>
      </c>
      <c r="AW29" t="s">
        <v>9</v>
      </c>
      <c r="AX29" t="s">
        <v>9</v>
      </c>
      <c r="AY29" t="s">
        <v>9</v>
      </c>
      <c r="AZ29" t="s">
        <v>9</v>
      </c>
      <c r="BA29" t="s">
        <v>9</v>
      </c>
      <c r="BB29" t="s">
        <v>9</v>
      </c>
      <c r="BC29" t="s">
        <v>9</v>
      </c>
      <c r="BD29" t="s">
        <v>9</v>
      </c>
      <c r="BE29" t="s">
        <v>9</v>
      </c>
    </row>
    <row r="30" spans="1:70">
      <c r="A30" s="169" t="s">
        <v>206</v>
      </c>
      <c r="B30" s="169" t="s">
        <v>48</v>
      </c>
      <c r="C30" s="169">
        <v>2</v>
      </c>
      <c r="D30" s="170" t="s">
        <v>591</v>
      </c>
      <c r="E30" s="170" t="str">
        <f>IF(COUNTIF(Measure_62443_3_3[[#This Row],[G 0.13 Interception of Compromising Interference Signals]:[IND.3.2.3 Insufficient regulations for the use of OT remote maintenance access]],"P")&gt;0,"X","")</f>
        <v/>
      </c>
      <c r="F30" s="170" t="str">
        <f>IF(OR(Measure_62443_3_3[[#This Row],[Requirement Selected (Prefulfilled)]]="X",Measure_62443_3_3[[#This Row],[Relevance revoked]]="Yes"),"X","")</f>
        <v/>
      </c>
      <c r="G3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0" s="170" t="str">
        <f>IF(OR(Measure_62443_3_3[[#This Row],[Requirement Selected (Prefulfilled + Mitigating)]]="X",Measure_62443_3_3[[#This Row],[Relevance revoked]]="Yes"),"X","")</f>
        <v/>
      </c>
      <c r="I30" s="172" t="str">
        <f>IF(VLOOKUP(Measure_62443_3_3[[#This Row],[FR]],'SL-T'!$A$5:$B$11,2,FALSE)&gt;=Measure_62443_3_3[[#This Row],[lowest SL-T]],"X","")</f>
        <v>X</v>
      </c>
      <c r="J30" s="173" t="s">
        <v>91</v>
      </c>
      <c r="K30" s="174"/>
      <c r="L30" t="s">
        <v>9</v>
      </c>
      <c r="M30" t="s">
        <v>9</v>
      </c>
      <c r="N30" t="s">
        <v>9</v>
      </c>
      <c r="O30" t="s">
        <v>9</v>
      </c>
      <c r="P30" t="s">
        <v>9</v>
      </c>
      <c r="Q30" t="s">
        <v>9</v>
      </c>
      <c r="R30" t="s">
        <v>9</v>
      </c>
      <c r="S30" t="s">
        <v>9</v>
      </c>
      <c r="T30" t="s">
        <v>9</v>
      </c>
      <c r="U30" t="s">
        <v>9</v>
      </c>
      <c r="V30" t="s">
        <v>9</v>
      </c>
      <c r="W30" t="s">
        <v>9</v>
      </c>
      <c r="X30" t="s">
        <v>9</v>
      </c>
      <c r="Y30" t="s">
        <v>9</v>
      </c>
      <c r="Z30" t="s">
        <v>9</v>
      </c>
      <c r="AA30" t="s">
        <v>9</v>
      </c>
      <c r="AB30" t="s">
        <v>9</v>
      </c>
      <c r="AC30" t="s">
        <v>9</v>
      </c>
      <c r="AD30" t="s">
        <v>9</v>
      </c>
      <c r="AE30" t="s">
        <v>9</v>
      </c>
      <c r="AF30" t="s">
        <v>9</v>
      </c>
      <c r="AG30" t="s">
        <v>9</v>
      </c>
      <c r="AH30" t="s">
        <v>9</v>
      </c>
      <c r="AI30" t="s">
        <v>9</v>
      </c>
      <c r="AJ30" t="s">
        <v>9</v>
      </c>
      <c r="AK30" t="s">
        <v>9</v>
      </c>
      <c r="AL30" t="s">
        <v>9</v>
      </c>
      <c r="AM30" t="s">
        <v>9</v>
      </c>
      <c r="AN30" t="s">
        <v>9</v>
      </c>
      <c r="AO30" t="s">
        <v>9</v>
      </c>
      <c r="AP30" t="s">
        <v>9</v>
      </c>
      <c r="AQ30" t="s">
        <v>9</v>
      </c>
      <c r="AR30" t="s">
        <v>9</v>
      </c>
      <c r="AS30" t="s">
        <v>9</v>
      </c>
      <c r="AT30" t="s">
        <v>9</v>
      </c>
      <c r="AU30" t="s">
        <v>9</v>
      </c>
      <c r="AV30" t="s">
        <v>9</v>
      </c>
      <c r="AW30" t="s">
        <v>9</v>
      </c>
      <c r="AX30" t="s">
        <v>9</v>
      </c>
      <c r="AY30" t="s">
        <v>9</v>
      </c>
      <c r="AZ30" t="s">
        <v>9</v>
      </c>
      <c r="BA30" t="s">
        <v>9</v>
      </c>
      <c r="BB30" t="s">
        <v>9</v>
      </c>
      <c r="BC30" t="s">
        <v>9</v>
      </c>
      <c r="BD30" t="s">
        <v>9</v>
      </c>
      <c r="BE30" t="s">
        <v>9</v>
      </c>
    </row>
    <row r="31" spans="1:70" hidden="1">
      <c r="A31" s="169" t="s">
        <v>207</v>
      </c>
      <c r="B31" s="169" t="s">
        <v>48</v>
      </c>
      <c r="C31" s="169">
        <v>3</v>
      </c>
      <c r="D31" s="170" t="s">
        <v>591</v>
      </c>
      <c r="E31" s="170" t="str">
        <f>IF(COUNTIF(Measure_62443_3_3[[#This Row],[G 0.13 Interception of Compromising Interference Signals]:[IND.3.2.3 Insufficient regulations for the use of OT remote maintenance access]],"P")&gt;0,"X","")</f>
        <v/>
      </c>
      <c r="F31" s="170" t="str">
        <f>IF(OR(Measure_62443_3_3[[#This Row],[Requirement Selected (Prefulfilled)]]="X",Measure_62443_3_3[[#This Row],[Relevance revoked]]="Yes"),"X","")</f>
        <v/>
      </c>
      <c r="G3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1" s="170" t="str">
        <f>IF(OR(Measure_62443_3_3[[#This Row],[Requirement Selected (Prefulfilled + Mitigating)]]="X",Measure_62443_3_3[[#This Row],[Relevance revoked]]="Yes"),"X","")</f>
        <v/>
      </c>
      <c r="I31" s="172" t="str">
        <f>IF(VLOOKUP(Measure_62443_3_3[[#This Row],[FR]],'SL-T'!$A$5:$B$11,2,FALSE)&gt;=Measure_62443_3_3[[#This Row],[lowest SL-T]],"X","")</f>
        <v/>
      </c>
      <c r="J31" s="173" t="s">
        <v>91</v>
      </c>
      <c r="K31" s="174"/>
      <c r="L31" t="s">
        <v>9</v>
      </c>
      <c r="M31" t="s">
        <v>9</v>
      </c>
      <c r="N31" t="s">
        <v>9</v>
      </c>
      <c r="O31" t="s">
        <v>9</v>
      </c>
      <c r="P31" t="s">
        <v>9</v>
      </c>
      <c r="Q31" t="s">
        <v>9</v>
      </c>
      <c r="R31" t="s">
        <v>9</v>
      </c>
      <c r="S31" t="s">
        <v>9</v>
      </c>
      <c r="T31" t="s">
        <v>9</v>
      </c>
      <c r="U31" t="s">
        <v>9</v>
      </c>
      <c r="V31" t="s">
        <v>9</v>
      </c>
      <c r="W31" t="s">
        <v>9</v>
      </c>
      <c r="X31" t="s">
        <v>9</v>
      </c>
      <c r="Y31" t="s">
        <v>9</v>
      </c>
      <c r="Z31" t="s">
        <v>9</v>
      </c>
      <c r="AA31" t="s">
        <v>9</v>
      </c>
      <c r="AB31" t="s">
        <v>9</v>
      </c>
      <c r="AC31" t="s">
        <v>9</v>
      </c>
      <c r="AD31" t="s">
        <v>9</v>
      </c>
      <c r="AE31" t="s">
        <v>9</v>
      </c>
      <c r="AF31" t="s">
        <v>9</v>
      </c>
      <c r="AG31" t="s">
        <v>9</v>
      </c>
      <c r="AH31" t="s">
        <v>9</v>
      </c>
      <c r="AI31" t="s">
        <v>9</v>
      </c>
      <c r="AJ31" t="s">
        <v>9</v>
      </c>
      <c r="AK31" t="s">
        <v>9</v>
      </c>
      <c r="AL31" t="s">
        <v>9</v>
      </c>
      <c r="AM31" t="s">
        <v>9</v>
      </c>
      <c r="AN31" t="s">
        <v>9</v>
      </c>
      <c r="AO31" t="s">
        <v>9</v>
      </c>
      <c r="AP31" t="s">
        <v>9</v>
      </c>
      <c r="AQ31" t="s">
        <v>9</v>
      </c>
      <c r="AR31" t="s">
        <v>9</v>
      </c>
      <c r="AS31" t="s">
        <v>9</v>
      </c>
      <c r="AT31" t="s">
        <v>9</v>
      </c>
      <c r="AU31" t="s">
        <v>9</v>
      </c>
      <c r="AV31" t="s">
        <v>9</v>
      </c>
      <c r="AW31" t="s">
        <v>9</v>
      </c>
      <c r="AX31" t="s">
        <v>9</v>
      </c>
      <c r="AY31" t="s">
        <v>9</v>
      </c>
      <c r="AZ31" t="s">
        <v>9</v>
      </c>
      <c r="BA31" t="s">
        <v>9</v>
      </c>
      <c r="BB31" t="s">
        <v>9</v>
      </c>
      <c r="BC31" t="s">
        <v>9</v>
      </c>
      <c r="BD31" t="s">
        <v>9</v>
      </c>
      <c r="BE31" t="s">
        <v>9</v>
      </c>
    </row>
    <row r="32" spans="1:70" hidden="1">
      <c r="A32" s="169" t="s">
        <v>208</v>
      </c>
      <c r="B32" s="169" t="s">
        <v>48</v>
      </c>
      <c r="C32" s="169">
        <v>4</v>
      </c>
      <c r="D32" s="170" t="s">
        <v>591</v>
      </c>
      <c r="E32" s="170" t="str">
        <f>IF(COUNTIF(Measure_62443_3_3[[#This Row],[G 0.13 Interception of Compromising Interference Signals]:[IND.3.2.3 Insufficient regulations for the use of OT remote maintenance access]],"P")&gt;0,"X","")</f>
        <v/>
      </c>
      <c r="F32" s="170" t="str">
        <f>IF(OR(Measure_62443_3_3[[#This Row],[Requirement Selected (Prefulfilled)]]="X",Measure_62443_3_3[[#This Row],[Relevance revoked]]="Yes"),"X","")</f>
        <v/>
      </c>
      <c r="G3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2" s="170" t="str">
        <f>IF(OR(Measure_62443_3_3[[#This Row],[Requirement Selected (Prefulfilled + Mitigating)]]="X",Measure_62443_3_3[[#This Row],[Relevance revoked]]="Yes"),"X","")</f>
        <v/>
      </c>
      <c r="I32" s="172" t="str">
        <f>IF(VLOOKUP(Measure_62443_3_3[[#This Row],[FR]],'SL-T'!$A$5:$B$11,2,FALSE)&gt;=Measure_62443_3_3[[#This Row],[lowest SL-T]],"X","")</f>
        <v/>
      </c>
      <c r="J32" s="173" t="s">
        <v>91</v>
      </c>
      <c r="K32" s="174"/>
      <c r="L32" t="s">
        <v>9</v>
      </c>
      <c r="M32" t="s">
        <v>9</v>
      </c>
      <c r="N32" t="s">
        <v>9</v>
      </c>
      <c r="O32" t="s">
        <v>9</v>
      </c>
      <c r="P32" t="s">
        <v>9</v>
      </c>
      <c r="Q32" t="s">
        <v>9</v>
      </c>
      <c r="R32" t="s">
        <v>9</v>
      </c>
      <c r="S32" t="s">
        <v>9</v>
      </c>
      <c r="T32" t="s">
        <v>9</v>
      </c>
      <c r="U32" t="s">
        <v>9</v>
      </c>
      <c r="V32" t="s">
        <v>9</v>
      </c>
      <c r="W32" t="s">
        <v>9</v>
      </c>
      <c r="X32" t="s">
        <v>9</v>
      </c>
      <c r="Y32" t="s">
        <v>9</v>
      </c>
      <c r="Z32" t="s">
        <v>9</v>
      </c>
      <c r="AA32" t="s">
        <v>9</v>
      </c>
      <c r="AB32" t="s">
        <v>9</v>
      </c>
      <c r="AC32" t="s">
        <v>9</v>
      </c>
      <c r="AD32" t="s">
        <v>9</v>
      </c>
      <c r="AE32" t="s">
        <v>9</v>
      </c>
      <c r="AF32" t="s">
        <v>9</v>
      </c>
      <c r="AG32" t="s">
        <v>9</v>
      </c>
      <c r="AH32" t="s">
        <v>9</v>
      </c>
      <c r="AI32" t="s">
        <v>9</v>
      </c>
      <c r="AJ32" t="s">
        <v>9</v>
      </c>
      <c r="AK32" t="s">
        <v>9</v>
      </c>
      <c r="AL32" t="s">
        <v>9</v>
      </c>
      <c r="AM32" t="s">
        <v>9</v>
      </c>
      <c r="AN32" t="s">
        <v>9</v>
      </c>
      <c r="AO32" t="s">
        <v>9</v>
      </c>
      <c r="AP32" t="s">
        <v>9</v>
      </c>
      <c r="AQ32" t="s">
        <v>9</v>
      </c>
      <c r="AR32" t="s">
        <v>9</v>
      </c>
      <c r="AS32" t="s">
        <v>9</v>
      </c>
      <c r="AT32" t="s">
        <v>9</v>
      </c>
      <c r="AU32" t="s">
        <v>9</v>
      </c>
      <c r="AV32" t="s">
        <v>9</v>
      </c>
      <c r="AW32" t="s">
        <v>9</v>
      </c>
      <c r="AX32" t="s">
        <v>9</v>
      </c>
      <c r="AY32" t="s">
        <v>9</v>
      </c>
      <c r="AZ32" t="s">
        <v>9</v>
      </c>
      <c r="BA32" t="s">
        <v>9</v>
      </c>
      <c r="BB32" t="s">
        <v>9</v>
      </c>
      <c r="BC32" t="s">
        <v>9</v>
      </c>
      <c r="BD32" t="s">
        <v>9</v>
      </c>
      <c r="BE32" t="s">
        <v>9</v>
      </c>
    </row>
    <row r="33" spans="1:70">
      <c r="A33" s="169" t="s">
        <v>209</v>
      </c>
      <c r="B33" s="169" t="s">
        <v>48</v>
      </c>
      <c r="C33" s="169">
        <v>1</v>
      </c>
      <c r="D33" s="170" t="s">
        <v>591</v>
      </c>
      <c r="E33" s="170" t="str">
        <f>IF(COUNTIF(Measure_62443_3_3[[#This Row],[G 0.13 Interception of Compromising Interference Signals]:[IND.3.2.3 Insufficient regulations for the use of OT remote maintenance access]],"P")&gt;0,"X","")</f>
        <v/>
      </c>
      <c r="F33" s="170" t="str">
        <f>IF(OR(Measure_62443_3_3[[#This Row],[Requirement Selected (Prefulfilled)]]="X",Measure_62443_3_3[[#This Row],[Relevance revoked]]="Yes"),"X","")</f>
        <v/>
      </c>
      <c r="G3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3" s="170" t="str">
        <f>IF(OR(Measure_62443_3_3[[#This Row],[Requirement Selected (Prefulfilled + Mitigating)]]="X",Measure_62443_3_3[[#This Row],[Relevance revoked]]="Yes"),"X","")</f>
        <v/>
      </c>
      <c r="I33" s="172" t="str">
        <f>IF(VLOOKUP(Measure_62443_3_3[[#This Row],[FR]],'SL-T'!$A$5:$B$11,2,FALSE)&gt;=Measure_62443_3_3[[#This Row],[lowest SL-T]],"X","")</f>
        <v>X</v>
      </c>
      <c r="J33" s="173" t="s">
        <v>91</v>
      </c>
      <c r="K33" s="174"/>
      <c r="L33" t="s">
        <v>9</v>
      </c>
      <c r="M33" t="s">
        <v>9</v>
      </c>
      <c r="N33" t="s">
        <v>9</v>
      </c>
      <c r="O33" t="s">
        <v>9</v>
      </c>
      <c r="P33" t="s">
        <v>9</v>
      </c>
      <c r="Q33" t="s">
        <v>9</v>
      </c>
      <c r="R33" t="s">
        <v>9</v>
      </c>
      <c r="S33" t="s">
        <v>9</v>
      </c>
      <c r="T33" t="s">
        <v>9</v>
      </c>
      <c r="U33" t="s">
        <v>9</v>
      </c>
      <c r="V33" t="s">
        <v>9</v>
      </c>
      <c r="W33" t="s">
        <v>9</v>
      </c>
      <c r="X33" t="s">
        <v>9</v>
      </c>
      <c r="Y33" t="s">
        <v>9</v>
      </c>
      <c r="Z33" t="s">
        <v>9</v>
      </c>
      <c r="AA33" t="s">
        <v>9</v>
      </c>
      <c r="AB33" t="s">
        <v>9</v>
      </c>
      <c r="AC33" t="s">
        <v>9</v>
      </c>
      <c r="AD33" t="s">
        <v>9</v>
      </c>
      <c r="AE33" t="s">
        <v>9</v>
      </c>
      <c r="AF33" t="s">
        <v>9</v>
      </c>
      <c r="AG33" t="s">
        <v>9</v>
      </c>
      <c r="AH33" t="s">
        <v>9</v>
      </c>
      <c r="AI33" t="s">
        <v>9</v>
      </c>
      <c r="AJ33" t="s">
        <v>9</v>
      </c>
      <c r="AK33" t="s">
        <v>9</v>
      </c>
      <c r="AL33" t="s">
        <v>9</v>
      </c>
      <c r="AM33" t="s">
        <v>9</v>
      </c>
      <c r="AN33" t="s">
        <v>9</v>
      </c>
      <c r="AO33" t="s">
        <v>9</v>
      </c>
      <c r="AP33" t="s">
        <v>9</v>
      </c>
      <c r="AQ33" t="s">
        <v>9</v>
      </c>
      <c r="AR33" t="s">
        <v>9</v>
      </c>
      <c r="AS33" t="s">
        <v>9</v>
      </c>
      <c r="AT33" t="s">
        <v>9</v>
      </c>
      <c r="AU33" t="s">
        <v>9</v>
      </c>
      <c r="AV33" t="s">
        <v>9</v>
      </c>
      <c r="AW33" t="s">
        <v>9</v>
      </c>
      <c r="AX33" t="s">
        <v>9</v>
      </c>
      <c r="AY33" t="s">
        <v>9</v>
      </c>
      <c r="AZ33" t="s">
        <v>9</v>
      </c>
      <c r="BA33" t="s">
        <v>9</v>
      </c>
      <c r="BB33" t="s">
        <v>9</v>
      </c>
      <c r="BC33" t="s">
        <v>9</v>
      </c>
      <c r="BD33" t="s">
        <v>9</v>
      </c>
      <c r="BE33" t="s">
        <v>9</v>
      </c>
      <c r="BF33" t="s">
        <v>9</v>
      </c>
      <c r="BG33" t="s">
        <v>9</v>
      </c>
      <c r="BH33" t="s">
        <v>9</v>
      </c>
      <c r="BI33" t="s">
        <v>9</v>
      </c>
      <c r="BJ33" t="s">
        <v>9</v>
      </c>
      <c r="BK33" t="s">
        <v>9</v>
      </c>
      <c r="BL33" t="s">
        <v>9</v>
      </c>
      <c r="BM33" t="s">
        <v>9</v>
      </c>
      <c r="BN33" t="s">
        <v>9</v>
      </c>
      <c r="BO33" t="s">
        <v>9</v>
      </c>
      <c r="BP33" t="s">
        <v>9</v>
      </c>
      <c r="BQ33" t="s">
        <v>9</v>
      </c>
      <c r="BR33" t="s">
        <v>9</v>
      </c>
    </row>
    <row r="34" spans="1:70" hidden="1">
      <c r="A34" s="169" t="s">
        <v>210</v>
      </c>
      <c r="B34" s="169" t="s">
        <v>48</v>
      </c>
      <c r="C34" s="169">
        <v>3</v>
      </c>
      <c r="D34" s="170" t="s">
        <v>591</v>
      </c>
      <c r="E34" s="170" t="str">
        <f>IF(COUNTIF(Measure_62443_3_3[[#This Row],[G 0.13 Interception of Compromising Interference Signals]:[IND.3.2.3 Insufficient regulations for the use of OT remote maintenance access]],"P")&gt;0,"X","")</f>
        <v/>
      </c>
      <c r="F34" s="170" t="str">
        <f>IF(OR(Measure_62443_3_3[[#This Row],[Requirement Selected (Prefulfilled)]]="X",Measure_62443_3_3[[#This Row],[Relevance revoked]]="Yes"),"X","")</f>
        <v/>
      </c>
      <c r="G3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4" s="170" t="str">
        <f>IF(OR(Measure_62443_3_3[[#This Row],[Requirement Selected (Prefulfilled + Mitigating)]]="X",Measure_62443_3_3[[#This Row],[Relevance revoked]]="Yes"),"X","")</f>
        <v/>
      </c>
      <c r="I34" s="172" t="str">
        <f>IF(VLOOKUP(Measure_62443_3_3[[#This Row],[FR]],'SL-T'!$A$5:$B$11,2,FALSE)&gt;=Measure_62443_3_3[[#This Row],[lowest SL-T]],"X","")</f>
        <v/>
      </c>
      <c r="J34" s="173" t="s">
        <v>91</v>
      </c>
      <c r="K34" s="174"/>
      <c r="L34" t="s">
        <v>9</v>
      </c>
      <c r="M34" t="s">
        <v>9</v>
      </c>
      <c r="N34" t="s">
        <v>9</v>
      </c>
      <c r="O34" t="s">
        <v>9</v>
      </c>
      <c r="P34" t="s">
        <v>9</v>
      </c>
      <c r="Q34" t="s">
        <v>9</v>
      </c>
      <c r="R34" t="s">
        <v>9</v>
      </c>
      <c r="S34" t="s">
        <v>9</v>
      </c>
      <c r="T34" t="s">
        <v>9</v>
      </c>
      <c r="U34" t="s">
        <v>9</v>
      </c>
      <c r="V34" t="s">
        <v>9</v>
      </c>
      <c r="W34" t="s">
        <v>9</v>
      </c>
      <c r="X34" t="s">
        <v>9</v>
      </c>
      <c r="Y34" t="s">
        <v>9</v>
      </c>
      <c r="Z34" t="s">
        <v>9</v>
      </c>
      <c r="AA34" t="s">
        <v>9</v>
      </c>
      <c r="AB34" t="s">
        <v>9</v>
      </c>
      <c r="AC34" t="s">
        <v>9</v>
      </c>
      <c r="AD34" t="s">
        <v>9</v>
      </c>
      <c r="AE34" t="s">
        <v>9</v>
      </c>
      <c r="AF34" t="s">
        <v>9</v>
      </c>
      <c r="AG34" t="s">
        <v>9</v>
      </c>
      <c r="AH34" t="s">
        <v>9</v>
      </c>
      <c r="AI34" t="s">
        <v>9</v>
      </c>
      <c r="AJ34" t="s">
        <v>9</v>
      </c>
      <c r="AK34" t="s">
        <v>9</v>
      </c>
      <c r="AL34" t="s">
        <v>9</v>
      </c>
      <c r="AM34" t="s">
        <v>9</v>
      </c>
      <c r="AN34" t="s">
        <v>9</v>
      </c>
      <c r="AO34" t="s">
        <v>9</v>
      </c>
      <c r="AP34" t="s">
        <v>9</v>
      </c>
      <c r="AQ34" t="s">
        <v>9</v>
      </c>
      <c r="AR34" t="s">
        <v>9</v>
      </c>
      <c r="AS34" t="s">
        <v>9</v>
      </c>
      <c r="AT34" t="s">
        <v>9</v>
      </c>
      <c r="AU34" t="s">
        <v>9</v>
      </c>
      <c r="AV34" t="s">
        <v>9</v>
      </c>
      <c r="AW34" t="s">
        <v>9</v>
      </c>
      <c r="AX34" t="s">
        <v>9</v>
      </c>
      <c r="AY34" t="s">
        <v>9</v>
      </c>
      <c r="AZ34" t="s">
        <v>9</v>
      </c>
      <c r="BA34" t="s">
        <v>9</v>
      </c>
      <c r="BB34" t="s">
        <v>9</v>
      </c>
      <c r="BC34" t="s">
        <v>9</v>
      </c>
      <c r="BD34" t="s">
        <v>9</v>
      </c>
      <c r="BE34" t="s">
        <v>9</v>
      </c>
    </row>
    <row r="35" spans="1:70">
      <c r="A35" s="169" t="s">
        <v>211</v>
      </c>
      <c r="B35" s="169" t="s">
        <v>48</v>
      </c>
      <c r="C35" s="169">
        <v>1</v>
      </c>
      <c r="D35" s="170" t="s">
        <v>591</v>
      </c>
      <c r="E35" s="170" t="str">
        <f>IF(COUNTIF(Measure_62443_3_3[[#This Row],[G 0.13 Interception of Compromising Interference Signals]:[IND.3.2.3 Insufficient regulations for the use of OT remote maintenance access]],"P")&gt;0,"X","")</f>
        <v/>
      </c>
      <c r="F35" s="170" t="str">
        <f>IF(OR(Measure_62443_3_3[[#This Row],[Requirement Selected (Prefulfilled)]]="X",Measure_62443_3_3[[#This Row],[Relevance revoked]]="Yes"),"X","")</f>
        <v/>
      </c>
      <c r="G3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5" s="170" t="str">
        <f>IF(OR(Measure_62443_3_3[[#This Row],[Requirement Selected (Prefulfilled + Mitigating)]]="X",Measure_62443_3_3[[#This Row],[Relevance revoked]]="Yes"),"X","")</f>
        <v/>
      </c>
      <c r="I35" s="172" t="str">
        <f>IF(VLOOKUP(Measure_62443_3_3[[#This Row],[FR]],'SL-T'!$A$5:$B$11,2,FALSE)&gt;=Measure_62443_3_3[[#This Row],[lowest SL-T]],"X","")</f>
        <v>X</v>
      </c>
      <c r="J35" s="173" t="s">
        <v>91</v>
      </c>
      <c r="K35" s="174"/>
      <c r="L35" t="s">
        <v>9</v>
      </c>
      <c r="M35" t="s">
        <v>9</v>
      </c>
      <c r="N35" t="s">
        <v>9</v>
      </c>
      <c r="O35" t="s">
        <v>9</v>
      </c>
      <c r="P35" t="s">
        <v>9</v>
      </c>
      <c r="Q35" t="s">
        <v>9</v>
      </c>
      <c r="R35" t="s">
        <v>9</v>
      </c>
      <c r="S35" t="s">
        <v>9</v>
      </c>
      <c r="T35" t="s">
        <v>9</v>
      </c>
      <c r="U35" t="s">
        <v>9</v>
      </c>
      <c r="V35" t="s">
        <v>9</v>
      </c>
      <c r="W35" t="s">
        <v>9</v>
      </c>
      <c r="X35" t="s">
        <v>9</v>
      </c>
      <c r="Y35" t="s">
        <v>9</v>
      </c>
      <c r="Z35" t="s">
        <v>9</v>
      </c>
      <c r="AA35" t="s">
        <v>9</v>
      </c>
      <c r="AB35" t="s">
        <v>9</v>
      </c>
      <c r="AC35" t="s">
        <v>9</v>
      </c>
      <c r="AD35" t="s">
        <v>9</v>
      </c>
      <c r="AE35" t="s">
        <v>9</v>
      </c>
      <c r="AF35" t="s">
        <v>9</v>
      </c>
      <c r="AG35" t="s">
        <v>9</v>
      </c>
      <c r="AH35" t="s">
        <v>9</v>
      </c>
      <c r="AI35" t="s">
        <v>9</v>
      </c>
      <c r="AJ35" t="s">
        <v>9</v>
      </c>
      <c r="AK35" t="s">
        <v>9</v>
      </c>
      <c r="AL35" t="s">
        <v>9</v>
      </c>
      <c r="AM35" t="s">
        <v>9</v>
      </c>
      <c r="AN35" t="s">
        <v>9</v>
      </c>
      <c r="AO35" t="s">
        <v>9</v>
      </c>
      <c r="AP35" t="s">
        <v>9</v>
      </c>
      <c r="AQ35" t="s">
        <v>9</v>
      </c>
      <c r="AR35" t="s">
        <v>9</v>
      </c>
      <c r="AS35" t="s">
        <v>9</v>
      </c>
      <c r="AT35" t="s">
        <v>9</v>
      </c>
      <c r="AU35" t="s">
        <v>9</v>
      </c>
      <c r="AV35" t="s">
        <v>9</v>
      </c>
      <c r="AW35" t="s">
        <v>9</v>
      </c>
      <c r="AX35" t="s">
        <v>9</v>
      </c>
      <c r="AY35" t="s">
        <v>9</v>
      </c>
      <c r="AZ35" t="s">
        <v>9</v>
      </c>
      <c r="BA35" t="s">
        <v>9</v>
      </c>
      <c r="BB35" t="s">
        <v>9</v>
      </c>
      <c r="BC35" t="s">
        <v>9</v>
      </c>
      <c r="BD35" t="s">
        <v>9</v>
      </c>
      <c r="BE35" t="s">
        <v>9</v>
      </c>
      <c r="BF35" t="s">
        <v>9</v>
      </c>
      <c r="BG35" t="s">
        <v>9</v>
      </c>
      <c r="BH35" t="s">
        <v>9</v>
      </c>
      <c r="BI35" t="s">
        <v>9</v>
      </c>
      <c r="BJ35" t="s">
        <v>9</v>
      </c>
      <c r="BK35" t="s">
        <v>9</v>
      </c>
      <c r="BL35" t="s">
        <v>9</v>
      </c>
      <c r="BM35" t="s">
        <v>9</v>
      </c>
      <c r="BN35" t="s">
        <v>9</v>
      </c>
      <c r="BO35" t="s">
        <v>9</v>
      </c>
      <c r="BP35" t="s">
        <v>9</v>
      </c>
      <c r="BQ35" t="s">
        <v>9</v>
      </c>
      <c r="BR35" t="s">
        <v>9</v>
      </c>
    </row>
    <row r="36" spans="1:70" hidden="1">
      <c r="A36" s="169" t="s">
        <v>212</v>
      </c>
      <c r="B36" s="169" t="s">
        <v>48</v>
      </c>
      <c r="C36" s="169">
        <v>3</v>
      </c>
      <c r="D36" s="170" t="s">
        <v>591</v>
      </c>
      <c r="E36" s="170" t="str">
        <f>IF(COUNTIF(Measure_62443_3_3[[#This Row],[G 0.13 Interception of Compromising Interference Signals]:[IND.3.2.3 Insufficient regulations for the use of OT remote maintenance access]],"P")&gt;0,"X","")</f>
        <v/>
      </c>
      <c r="F36" s="170" t="str">
        <f>IF(OR(Measure_62443_3_3[[#This Row],[Requirement Selected (Prefulfilled)]]="X",Measure_62443_3_3[[#This Row],[Relevance revoked]]="Yes"),"X","")</f>
        <v/>
      </c>
      <c r="G3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6" s="170" t="str">
        <f>IF(OR(Measure_62443_3_3[[#This Row],[Requirement Selected (Prefulfilled + Mitigating)]]="X",Measure_62443_3_3[[#This Row],[Relevance revoked]]="Yes"),"X","")</f>
        <v/>
      </c>
      <c r="I36" s="172" t="str">
        <f>IF(VLOOKUP(Measure_62443_3_3[[#This Row],[FR]],'SL-T'!$A$5:$B$11,2,FALSE)&gt;=Measure_62443_3_3[[#This Row],[lowest SL-T]],"X","")</f>
        <v/>
      </c>
      <c r="J36" s="173" t="s">
        <v>91</v>
      </c>
      <c r="K36" s="174"/>
      <c r="L36" t="s">
        <v>9</v>
      </c>
      <c r="M36" t="s">
        <v>9</v>
      </c>
      <c r="N36" t="s">
        <v>9</v>
      </c>
      <c r="O36" t="s">
        <v>9</v>
      </c>
      <c r="P36" t="s">
        <v>9</v>
      </c>
      <c r="Q36" t="s">
        <v>9</v>
      </c>
      <c r="R36" t="s">
        <v>9</v>
      </c>
      <c r="S36" t="s">
        <v>9</v>
      </c>
      <c r="T36" t="s">
        <v>9</v>
      </c>
      <c r="U36" t="s">
        <v>9</v>
      </c>
      <c r="V36" t="s">
        <v>9</v>
      </c>
      <c r="W36" t="s">
        <v>9</v>
      </c>
      <c r="X36" t="s">
        <v>9</v>
      </c>
      <c r="Y36" t="s">
        <v>9</v>
      </c>
      <c r="Z36" t="s">
        <v>9</v>
      </c>
      <c r="AA36" t="s">
        <v>9</v>
      </c>
      <c r="AB36" t="s">
        <v>9</v>
      </c>
      <c r="AC36" t="s">
        <v>9</v>
      </c>
      <c r="AD36" t="s">
        <v>9</v>
      </c>
      <c r="AE36" t="s">
        <v>9</v>
      </c>
      <c r="AF36" t="s">
        <v>9</v>
      </c>
      <c r="AG36" t="s">
        <v>9</v>
      </c>
      <c r="AH36" t="s">
        <v>9</v>
      </c>
      <c r="AI36" t="s">
        <v>9</v>
      </c>
      <c r="AJ36" t="s">
        <v>9</v>
      </c>
      <c r="AK36" t="s">
        <v>9</v>
      </c>
      <c r="AL36" t="s">
        <v>9</v>
      </c>
      <c r="AM36" t="s">
        <v>9</v>
      </c>
      <c r="AN36" t="s">
        <v>9</v>
      </c>
      <c r="AO36" t="s">
        <v>9</v>
      </c>
      <c r="AP36" t="s">
        <v>9</v>
      </c>
      <c r="AQ36" t="s">
        <v>9</v>
      </c>
      <c r="AR36" t="s">
        <v>9</v>
      </c>
      <c r="AS36" t="s">
        <v>9</v>
      </c>
      <c r="AT36" t="s">
        <v>9</v>
      </c>
      <c r="AU36" t="s">
        <v>9</v>
      </c>
      <c r="AV36" t="s">
        <v>9</v>
      </c>
      <c r="AW36" t="s">
        <v>9</v>
      </c>
      <c r="AX36" t="s">
        <v>9</v>
      </c>
      <c r="AY36" t="s">
        <v>9</v>
      </c>
      <c r="AZ36" t="s">
        <v>9</v>
      </c>
      <c r="BA36" t="s">
        <v>9</v>
      </c>
      <c r="BB36" t="s">
        <v>9</v>
      </c>
      <c r="BC36" t="s">
        <v>9</v>
      </c>
      <c r="BD36" t="s">
        <v>9</v>
      </c>
      <c r="BE36" t="s">
        <v>9</v>
      </c>
    </row>
    <row r="37" spans="1:70">
      <c r="A37" s="169" t="s">
        <v>213</v>
      </c>
      <c r="B37" s="169" t="s">
        <v>48</v>
      </c>
      <c r="C37" s="169">
        <v>1</v>
      </c>
      <c r="D37" s="170" t="s">
        <v>591</v>
      </c>
      <c r="E37" s="170" t="str">
        <f>IF(COUNTIF(Measure_62443_3_3[[#This Row],[G 0.13 Interception of Compromising Interference Signals]:[IND.3.2.3 Insufficient regulations for the use of OT remote maintenance access]],"P")&gt;0,"X","")</f>
        <v/>
      </c>
      <c r="F37" s="170" t="str">
        <f>IF(OR(Measure_62443_3_3[[#This Row],[Requirement Selected (Prefulfilled)]]="X",Measure_62443_3_3[[#This Row],[Relevance revoked]]="Yes"),"X","")</f>
        <v/>
      </c>
      <c r="G3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7" s="170" t="str">
        <f>IF(OR(Measure_62443_3_3[[#This Row],[Requirement Selected (Prefulfilled + Mitigating)]]="X",Measure_62443_3_3[[#This Row],[Relevance revoked]]="Yes"),"X","")</f>
        <v/>
      </c>
      <c r="I37" s="172" t="str">
        <f>IF(VLOOKUP(Measure_62443_3_3[[#This Row],[FR]],'SL-T'!$A$5:$B$11,2,FALSE)&gt;=Measure_62443_3_3[[#This Row],[lowest SL-T]],"X","")</f>
        <v>X</v>
      </c>
      <c r="J37" s="173" t="s">
        <v>91</v>
      </c>
      <c r="K37" s="174"/>
      <c r="L37" t="s">
        <v>9</v>
      </c>
      <c r="M37" t="s">
        <v>9</v>
      </c>
      <c r="N37" t="s">
        <v>9</v>
      </c>
      <c r="O37" t="s">
        <v>9</v>
      </c>
      <c r="P37" t="s">
        <v>9</v>
      </c>
      <c r="Q37" t="s">
        <v>9</v>
      </c>
      <c r="R37" t="s">
        <v>9</v>
      </c>
      <c r="S37" t="s">
        <v>9</v>
      </c>
      <c r="T37" t="s">
        <v>9</v>
      </c>
      <c r="U37" t="s">
        <v>9</v>
      </c>
      <c r="V37" t="s">
        <v>9</v>
      </c>
      <c r="W37" t="s">
        <v>9</v>
      </c>
      <c r="X37" t="s">
        <v>9</v>
      </c>
      <c r="Y37" t="s">
        <v>9</v>
      </c>
      <c r="Z37" t="s">
        <v>9</v>
      </c>
      <c r="AA37" t="s">
        <v>9</v>
      </c>
      <c r="AB37" t="s">
        <v>9</v>
      </c>
      <c r="AC37" t="s">
        <v>9</v>
      </c>
      <c r="AD37" t="s">
        <v>9</v>
      </c>
      <c r="AE37" t="s">
        <v>9</v>
      </c>
      <c r="AF37" t="s">
        <v>9</v>
      </c>
      <c r="AG37" t="s">
        <v>9</v>
      </c>
      <c r="AH37" t="s">
        <v>9</v>
      </c>
      <c r="AI37" t="s">
        <v>9</v>
      </c>
      <c r="AJ37" t="s">
        <v>9</v>
      </c>
      <c r="AK37" t="s">
        <v>9</v>
      </c>
      <c r="AL37" t="s">
        <v>9</v>
      </c>
      <c r="AM37" t="s">
        <v>9</v>
      </c>
      <c r="AN37" t="s">
        <v>9</v>
      </c>
      <c r="AO37" t="s">
        <v>9</v>
      </c>
      <c r="AP37" t="s">
        <v>9</v>
      </c>
      <c r="AQ37" t="s">
        <v>9</v>
      </c>
      <c r="AR37" t="s">
        <v>9</v>
      </c>
      <c r="AS37" t="s">
        <v>9</v>
      </c>
      <c r="AT37" t="s">
        <v>9</v>
      </c>
      <c r="AU37" t="s">
        <v>9</v>
      </c>
      <c r="AV37" t="s">
        <v>9</v>
      </c>
      <c r="AW37" t="s">
        <v>9</v>
      </c>
      <c r="AX37" t="s">
        <v>9</v>
      </c>
      <c r="AY37" t="s">
        <v>9</v>
      </c>
      <c r="AZ37" t="s">
        <v>9</v>
      </c>
      <c r="BA37" t="s">
        <v>9</v>
      </c>
      <c r="BB37" t="s">
        <v>9</v>
      </c>
      <c r="BC37" t="s">
        <v>9</v>
      </c>
      <c r="BD37" t="s">
        <v>9</v>
      </c>
      <c r="BE37" t="s">
        <v>9</v>
      </c>
      <c r="BF37" t="s">
        <v>9</v>
      </c>
      <c r="BG37" t="s">
        <v>9</v>
      </c>
      <c r="BH37" t="s">
        <v>9</v>
      </c>
      <c r="BI37" t="s">
        <v>9</v>
      </c>
      <c r="BJ37" t="s">
        <v>9</v>
      </c>
      <c r="BK37" t="s">
        <v>9</v>
      </c>
      <c r="BL37" t="s">
        <v>9</v>
      </c>
      <c r="BM37" t="s">
        <v>9</v>
      </c>
      <c r="BN37" t="s">
        <v>9</v>
      </c>
      <c r="BO37" t="s">
        <v>9</v>
      </c>
      <c r="BP37" t="s">
        <v>9</v>
      </c>
      <c r="BQ37" t="s">
        <v>9</v>
      </c>
      <c r="BR37" t="s">
        <v>9</v>
      </c>
    </row>
    <row r="38" spans="1:70" hidden="1">
      <c r="A38" s="169" t="s">
        <v>214</v>
      </c>
      <c r="B38" s="169" t="s">
        <v>48</v>
      </c>
      <c r="C38" s="169">
        <v>3</v>
      </c>
      <c r="D38" s="170" t="s">
        <v>591</v>
      </c>
      <c r="E38" s="170" t="str">
        <f>IF(COUNTIF(Measure_62443_3_3[[#This Row],[G 0.13 Interception of Compromising Interference Signals]:[IND.3.2.3 Insufficient regulations for the use of OT remote maintenance access]],"P")&gt;0,"X","")</f>
        <v/>
      </c>
      <c r="F38" s="170" t="str">
        <f>IF(OR(Measure_62443_3_3[[#This Row],[Requirement Selected (Prefulfilled)]]="X",Measure_62443_3_3[[#This Row],[Relevance revoked]]="Yes"),"X","")</f>
        <v/>
      </c>
      <c r="G3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8" s="170" t="str">
        <f>IF(OR(Measure_62443_3_3[[#This Row],[Requirement Selected (Prefulfilled + Mitigating)]]="X",Measure_62443_3_3[[#This Row],[Relevance revoked]]="Yes"),"X","")</f>
        <v/>
      </c>
      <c r="I38" s="172" t="str">
        <f>IF(VLOOKUP(Measure_62443_3_3[[#This Row],[FR]],'SL-T'!$A$5:$B$11,2,FALSE)&gt;=Measure_62443_3_3[[#This Row],[lowest SL-T]],"X","")</f>
        <v/>
      </c>
      <c r="J38" s="173" t="s">
        <v>91</v>
      </c>
      <c r="K38" s="174"/>
      <c r="L38" t="s">
        <v>9</v>
      </c>
      <c r="M38" t="s">
        <v>9</v>
      </c>
      <c r="N38" t="s">
        <v>9</v>
      </c>
      <c r="O38" t="s">
        <v>9</v>
      </c>
      <c r="P38" t="s">
        <v>9</v>
      </c>
      <c r="Q38" t="s">
        <v>9</v>
      </c>
      <c r="R38" t="s">
        <v>9</v>
      </c>
      <c r="S38" t="s">
        <v>9</v>
      </c>
      <c r="T38" t="s">
        <v>9</v>
      </c>
      <c r="U38" t="s">
        <v>9</v>
      </c>
      <c r="V38" t="s">
        <v>9</v>
      </c>
      <c r="W38" t="s">
        <v>9</v>
      </c>
      <c r="X38" t="s">
        <v>9</v>
      </c>
      <c r="Y38" t="s">
        <v>9</v>
      </c>
      <c r="Z38" t="s">
        <v>9</v>
      </c>
      <c r="AA38" t="s">
        <v>9</v>
      </c>
      <c r="AB38" t="s">
        <v>9</v>
      </c>
      <c r="AC38" t="s">
        <v>9</v>
      </c>
      <c r="AD38" t="s">
        <v>9</v>
      </c>
      <c r="AE38" t="s">
        <v>9</v>
      </c>
      <c r="AF38" t="s">
        <v>9</v>
      </c>
      <c r="AG38" t="s">
        <v>9</v>
      </c>
      <c r="AH38" t="s">
        <v>9</v>
      </c>
      <c r="AI38" t="s">
        <v>9</v>
      </c>
      <c r="AJ38" t="s">
        <v>9</v>
      </c>
      <c r="AK38" t="s">
        <v>9</v>
      </c>
      <c r="AL38" t="s">
        <v>9</v>
      </c>
      <c r="AM38" t="s">
        <v>9</v>
      </c>
      <c r="AN38" t="s">
        <v>9</v>
      </c>
      <c r="AO38" t="s">
        <v>9</v>
      </c>
      <c r="AP38" t="s">
        <v>9</v>
      </c>
      <c r="AQ38" t="s">
        <v>9</v>
      </c>
      <c r="AR38" t="s">
        <v>9</v>
      </c>
      <c r="AS38" t="s">
        <v>9</v>
      </c>
      <c r="AT38" t="s">
        <v>9</v>
      </c>
      <c r="AU38" t="s">
        <v>9</v>
      </c>
      <c r="AV38" t="s">
        <v>9</v>
      </c>
      <c r="AW38" t="s">
        <v>9</v>
      </c>
      <c r="AX38" t="s">
        <v>9</v>
      </c>
      <c r="AY38" t="s">
        <v>9</v>
      </c>
      <c r="AZ38" t="s">
        <v>9</v>
      </c>
      <c r="BA38" t="s">
        <v>9</v>
      </c>
      <c r="BB38" t="s">
        <v>9</v>
      </c>
      <c r="BC38" t="s">
        <v>9</v>
      </c>
      <c r="BD38" t="s">
        <v>9</v>
      </c>
      <c r="BE38" t="s">
        <v>9</v>
      </c>
    </row>
    <row r="39" spans="1:70">
      <c r="A39" s="169" t="s">
        <v>215</v>
      </c>
      <c r="B39" s="169" t="s">
        <v>48</v>
      </c>
      <c r="C39" s="169">
        <v>1</v>
      </c>
      <c r="D39" s="170" t="s">
        <v>591</v>
      </c>
      <c r="E39" s="170" t="str">
        <f>IF(COUNTIF(Measure_62443_3_3[[#This Row],[G 0.13 Interception of Compromising Interference Signals]:[IND.3.2.3 Insufficient regulations for the use of OT remote maintenance access]],"P")&gt;0,"X","")</f>
        <v/>
      </c>
      <c r="F39" s="170" t="str">
        <f>IF(OR(Measure_62443_3_3[[#This Row],[Requirement Selected (Prefulfilled)]]="X",Measure_62443_3_3[[#This Row],[Relevance revoked]]="Yes"),"X","")</f>
        <v/>
      </c>
      <c r="G3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39" s="170" t="str">
        <f>IF(OR(Measure_62443_3_3[[#This Row],[Requirement Selected (Prefulfilled + Mitigating)]]="X",Measure_62443_3_3[[#This Row],[Relevance revoked]]="Yes"),"X","")</f>
        <v/>
      </c>
      <c r="I39" s="172" t="str">
        <f>IF(VLOOKUP(Measure_62443_3_3[[#This Row],[FR]],'SL-T'!$A$5:$B$11,2,FALSE)&gt;=Measure_62443_3_3[[#This Row],[lowest SL-T]],"X","")</f>
        <v>X</v>
      </c>
      <c r="J39" s="173" t="s">
        <v>91</v>
      </c>
      <c r="K39" s="174"/>
      <c r="L39" t="s">
        <v>9</v>
      </c>
      <c r="M39" t="s">
        <v>9</v>
      </c>
      <c r="N39" t="s">
        <v>9</v>
      </c>
      <c r="O39" t="s">
        <v>9</v>
      </c>
      <c r="P39" t="s">
        <v>9</v>
      </c>
      <c r="Q39" t="s">
        <v>9</v>
      </c>
      <c r="R39" t="s">
        <v>9</v>
      </c>
      <c r="S39" t="s">
        <v>9</v>
      </c>
      <c r="T39" t="s">
        <v>9</v>
      </c>
      <c r="U39" t="s">
        <v>9</v>
      </c>
      <c r="V39" t="s">
        <v>9</v>
      </c>
      <c r="W39" t="s">
        <v>9</v>
      </c>
      <c r="X39" t="s">
        <v>9</v>
      </c>
      <c r="Y39" t="s">
        <v>9</v>
      </c>
      <c r="Z39" t="s">
        <v>9</v>
      </c>
      <c r="AA39" t="s">
        <v>9</v>
      </c>
      <c r="AB39" t="s">
        <v>9</v>
      </c>
      <c r="AC39" t="s">
        <v>9</v>
      </c>
      <c r="AD39" t="s">
        <v>9</v>
      </c>
      <c r="AE39" t="s">
        <v>9</v>
      </c>
      <c r="AF39" t="s">
        <v>9</v>
      </c>
      <c r="AG39" t="s">
        <v>9</v>
      </c>
      <c r="AH39" t="s">
        <v>9</v>
      </c>
      <c r="AI39" t="s">
        <v>9</v>
      </c>
      <c r="AJ39" t="s">
        <v>9</v>
      </c>
      <c r="AK39" t="s">
        <v>9</v>
      </c>
      <c r="AL39" t="s">
        <v>9</v>
      </c>
      <c r="AM39" t="s">
        <v>9</v>
      </c>
      <c r="AN39" t="s">
        <v>9</v>
      </c>
      <c r="AO39" t="s">
        <v>9</v>
      </c>
      <c r="AP39" t="s">
        <v>9</v>
      </c>
      <c r="AQ39" t="s">
        <v>9</v>
      </c>
      <c r="AR39" t="s">
        <v>9</v>
      </c>
      <c r="AS39" t="s">
        <v>9</v>
      </c>
      <c r="AT39" t="s">
        <v>9</v>
      </c>
      <c r="AU39" t="s">
        <v>9</v>
      </c>
      <c r="AV39" t="s">
        <v>9</v>
      </c>
      <c r="AW39" t="s">
        <v>9</v>
      </c>
      <c r="AX39" t="s">
        <v>9</v>
      </c>
      <c r="AY39" t="s">
        <v>9</v>
      </c>
      <c r="AZ39" t="s">
        <v>9</v>
      </c>
      <c r="BA39" t="s">
        <v>9</v>
      </c>
      <c r="BB39" t="s">
        <v>9</v>
      </c>
      <c r="BC39" t="s">
        <v>9</v>
      </c>
      <c r="BD39" t="s">
        <v>9</v>
      </c>
      <c r="BE39" t="s">
        <v>9</v>
      </c>
      <c r="BF39" t="s">
        <v>9</v>
      </c>
      <c r="BG39" t="s">
        <v>9</v>
      </c>
      <c r="BH39" t="s">
        <v>9</v>
      </c>
      <c r="BI39" t="s">
        <v>9</v>
      </c>
      <c r="BJ39" t="s">
        <v>9</v>
      </c>
      <c r="BK39" t="s">
        <v>9</v>
      </c>
      <c r="BL39" t="s">
        <v>9</v>
      </c>
      <c r="BM39" t="s">
        <v>9</v>
      </c>
      <c r="BN39" t="s">
        <v>9</v>
      </c>
      <c r="BO39" t="s">
        <v>9</v>
      </c>
      <c r="BP39" t="s">
        <v>9</v>
      </c>
      <c r="BQ39" t="s">
        <v>9</v>
      </c>
      <c r="BR39" t="s">
        <v>9</v>
      </c>
    </row>
    <row r="40" spans="1:70">
      <c r="A40" s="169" t="s">
        <v>216</v>
      </c>
      <c r="B40" s="169" t="s">
        <v>48</v>
      </c>
      <c r="C40" s="169">
        <v>2</v>
      </c>
      <c r="D40" s="170" t="s">
        <v>591</v>
      </c>
      <c r="E40" s="170" t="str">
        <f>IF(COUNTIF(Measure_62443_3_3[[#This Row],[G 0.13 Interception of Compromising Interference Signals]:[IND.3.2.3 Insufficient regulations for the use of OT remote maintenance access]],"P")&gt;0,"X","")</f>
        <v/>
      </c>
      <c r="F40" s="170" t="str">
        <f>IF(OR(Measure_62443_3_3[[#This Row],[Requirement Selected (Prefulfilled)]]="X",Measure_62443_3_3[[#This Row],[Relevance revoked]]="Yes"),"X","")</f>
        <v/>
      </c>
      <c r="G4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0" s="170" t="str">
        <f>IF(OR(Measure_62443_3_3[[#This Row],[Requirement Selected (Prefulfilled + Mitigating)]]="X",Measure_62443_3_3[[#This Row],[Relevance revoked]]="Yes"),"X","")</f>
        <v/>
      </c>
      <c r="I40" s="172" t="str">
        <f>IF(VLOOKUP(Measure_62443_3_3[[#This Row],[FR]],'SL-T'!$A$5:$B$11,2,FALSE)&gt;=Measure_62443_3_3[[#This Row],[lowest SL-T]],"X","")</f>
        <v>X</v>
      </c>
      <c r="J40" s="173" t="s">
        <v>91</v>
      </c>
      <c r="K40" s="174"/>
      <c r="L40" t="s">
        <v>9</v>
      </c>
      <c r="M40" t="s">
        <v>9</v>
      </c>
      <c r="N40" t="s">
        <v>9</v>
      </c>
      <c r="O40" t="s">
        <v>9</v>
      </c>
      <c r="P40" t="s">
        <v>9</v>
      </c>
      <c r="Q40" t="s">
        <v>9</v>
      </c>
      <c r="R40" t="s">
        <v>9</v>
      </c>
      <c r="S40" t="s">
        <v>9</v>
      </c>
      <c r="T40" t="s">
        <v>9</v>
      </c>
      <c r="U40" t="s">
        <v>9</v>
      </c>
      <c r="V40" t="s">
        <v>9</v>
      </c>
      <c r="W40" t="s">
        <v>9</v>
      </c>
      <c r="X40" t="s">
        <v>9</v>
      </c>
      <c r="Y40" t="s">
        <v>9</v>
      </c>
      <c r="Z40" t="s">
        <v>9</v>
      </c>
      <c r="AA40" t="s">
        <v>9</v>
      </c>
      <c r="AB40" t="s">
        <v>9</v>
      </c>
      <c r="AC40" t="s">
        <v>9</v>
      </c>
      <c r="AD40" t="s">
        <v>9</v>
      </c>
      <c r="AE40" t="s">
        <v>9</v>
      </c>
      <c r="AF40" t="s">
        <v>9</v>
      </c>
      <c r="AG40" t="s">
        <v>9</v>
      </c>
      <c r="AH40" t="s">
        <v>9</v>
      </c>
      <c r="AI40" t="s">
        <v>9</v>
      </c>
      <c r="AJ40" t="s">
        <v>9</v>
      </c>
      <c r="AK40" t="s">
        <v>9</v>
      </c>
      <c r="AL40" t="s">
        <v>9</v>
      </c>
      <c r="AM40" t="s">
        <v>9</v>
      </c>
      <c r="AN40" t="s">
        <v>9</v>
      </c>
      <c r="AO40" t="s">
        <v>9</v>
      </c>
      <c r="AP40" t="s">
        <v>9</v>
      </c>
      <c r="AQ40" t="s">
        <v>9</v>
      </c>
      <c r="AR40" t="s">
        <v>9</v>
      </c>
      <c r="AS40" t="s">
        <v>9</v>
      </c>
      <c r="AT40" t="s">
        <v>9</v>
      </c>
      <c r="AU40" t="s">
        <v>9</v>
      </c>
      <c r="AV40" t="s">
        <v>9</v>
      </c>
      <c r="AW40" t="s">
        <v>9</v>
      </c>
      <c r="AX40" t="s">
        <v>9</v>
      </c>
      <c r="AY40" t="s">
        <v>9</v>
      </c>
      <c r="AZ40" t="s">
        <v>9</v>
      </c>
      <c r="BA40" t="s">
        <v>9</v>
      </c>
      <c r="BB40" t="s">
        <v>9</v>
      </c>
      <c r="BC40" t="s">
        <v>9</v>
      </c>
      <c r="BD40" t="s">
        <v>9</v>
      </c>
      <c r="BE40" t="s">
        <v>9</v>
      </c>
    </row>
    <row r="41" spans="1:70" hidden="1">
      <c r="A41" s="169" t="s">
        <v>217</v>
      </c>
      <c r="B41" s="169" t="s">
        <v>48</v>
      </c>
      <c r="C41" s="169">
        <v>3</v>
      </c>
      <c r="D41" s="170" t="s">
        <v>591</v>
      </c>
      <c r="E41" s="170" t="str">
        <f>IF(COUNTIF(Measure_62443_3_3[[#This Row],[G 0.13 Interception of Compromising Interference Signals]:[IND.3.2.3 Insufficient regulations for the use of OT remote maintenance access]],"P")&gt;0,"X","")</f>
        <v/>
      </c>
      <c r="F41" s="170" t="str">
        <f>IF(OR(Measure_62443_3_3[[#This Row],[Requirement Selected (Prefulfilled)]]="X",Measure_62443_3_3[[#This Row],[Relevance revoked]]="Yes"),"X","")</f>
        <v/>
      </c>
      <c r="G4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1" s="170" t="str">
        <f>IF(OR(Measure_62443_3_3[[#This Row],[Requirement Selected (Prefulfilled + Mitigating)]]="X",Measure_62443_3_3[[#This Row],[Relevance revoked]]="Yes"),"X","")</f>
        <v/>
      </c>
      <c r="I41" s="172" t="str">
        <f>IF(VLOOKUP(Measure_62443_3_3[[#This Row],[FR]],'SL-T'!$A$5:$B$11,2,FALSE)&gt;=Measure_62443_3_3[[#This Row],[lowest SL-T]],"X","")</f>
        <v/>
      </c>
      <c r="J41" s="173" t="s">
        <v>91</v>
      </c>
      <c r="K41" s="174"/>
      <c r="L41" t="s">
        <v>9</v>
      </c>
      <c r="M41" t="s">
        <v>9</v>
      </c>
      <c r="N41" t="s">
        <v>9</v>
      </c>
      <c r="O41" t="s">
        <v>9</v>
      </c>
      <c r="P41" t="s">
        <v>9</v>
      </c>
      <c r="Q41" t="s">
        <v>9</v>
      </c>
      <c r="R41" t="s">
        <v>9</v>
      </c>
      <c r="S41" t="s">
        <v>9</v>
      </c>
      <c r="T41" t="s">
        <v>9</v>
      </c>
      <c r="U41" t="s">
        <v>9</v>
      </c>
      <c r="V41" t="s">
        <v>9</v>
      </c>
      <c r="W41" t="s">
        <v>9</v>
      </c>
      <c r="X41" t="s">
        <v>9</v>
      </c>
      <c r="Y41" t="s">
        <v>9</v>
      </c>
      <c r="Z41" t="s">
        <v>9</v>
      </c>
      <c r="AA41" t="s">
        <v>9</v>
      </c>
      <c r="AB41" t="s">
        <v>9</v>
      </c>
      <c r="AC41" t="s">
        <v>9</v>
      </c>
      <c r="AD41" t="s">
        <v>9</v>
      </c>
      <c r="AE41" t="s">
        <v>9</v>
      </c>
      <c r="AF41" t="s">
        <v>9</v>
      </c>
      <c r="AG41" t="s">
        <v>9</v>
      </c>
      <c r="AH41" t="s">
        <v>9</v>
      </c>
      <c r="AI41" t="s">
        <v>9</v>
      </c>
      <c r="AJ41" t="s">
        <v>9</v>
      </c>
      <c r="AK41" t="s">
        <v>9</v>
      </c>
      <c r="AL41" t="s">
        <v>9</v>
      </c>
      <c r="AM41" t="s">
        <v>9</v>
      </c>
      <c r="AN41" t="s">
        <v>9</v>
      </c>
      <c r="AO41" t="s">
        <v>9</v>
      </c>
      <c r="AP41" t="s">
        <v>9</v>
      </c>
      <c r="AQ41" t="s">
        <v>9</v>
      </c>
      <c r="AR41" t="s">
        <v>9</v>
      </c>
      <c r="AS41" t="s">
        <v>9</v>
      </c>
      <c r="AT41" t="s">
        <v>9</v>
      </c>
      <c r="AU41" t="s">
        <v>9</v>
      </c>
      <c r="AV41" t="s">
        <v>9</v>
      </c>
      <c r="AW41" t="s">
        <v>9</v>
      </c>
      <c r="AX41" t="s">
        <v>9</v>
      </c>
      <c r="AY41" t="s">
        <v>9</v>
      </c>
      <c r="AZ41" t="s">
        <v>9</v>
      </c>
      <c r="BA41" t="s">
        <v>9</v>
      </c>
      <c r="BB41" t="s">
        <v>9</v>
      </c>
      <c r="BC41" t="s">
        <v>9</v>
      </c>
      <c r="BD41" t="s">
        <v>9</v>
      </c>
      <c r="BE41" t="s">
        <v>9</v>
      </c>
    </row>
    <row r="42" spans="1:70">
      <c r="A42" s="169" t="s">
        <v>218</v>
      </c>
      <c r="B42" s="169" t="s">
        <v>48</v>
      </c>
      <c r="C42" s="169">
        <v>1</v>
      </c>
      <c r="D42" s="170" t="s">
        <v>591</v>
      </c>
      <c r="E42" s="170" t="str">
        <f>IF(COUNTIF(Measure_62443_3_3[[#This Row],[G 0.13 Interception of Compromising Interference Signals]:[IND.3.2.3 Insufficient regulations for the use of OT remote maintenance access]],"P")&gt;0,"X","")</f>
        <v/>
      </c>
      <c r="F42" s="170" t="str">
        <f>IF(OR(Measure_62443_3_3[[#This Row],[Requirement Selected (Prefulfilled)]]="X",Measure_62443_3_3[[#This Row],[Relevance revoked]]="Yes"),"X","")</f>
        <v/>
      </c>
      <c r="G4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2" s="170" t="str">
        <f>IF(OR(Measure_62443_3_3[[#This Row],[Requirement Selected (Prefulfilled + Mitigating)]]="X",Measure_62443_3_3[[#This Row],[Relevance revoked]]="Yes"),"X","")</f>
        <v/>
      </c>
      <c r="I42" s="172" t="str">
        <f>IF(VLOOKUP(Measure_62443_3_3[[#This Row],[FR]],'SL-T'!$A$5:$B$11,2,FALSE)&gt;=Measure_62443_3_3[[#This Row],[lowest SL-T]],"X","")</f>
        <v>X</v>
      </c>
      <c r="J42" s="173" t="s">
        <v>91</v>
      </c>
      <c r="K42" s="174"/>
      <c r="L42" t="s">
        <v>9</v>
      </c>
      <c r="M42" t="s">
        <v>9</v>
      </c>
      <c r="N42" t="s">
        <v>9</v>
      </c>
      <c r="O42" t="s">
        <v>9</v>
      </c>
      <c r="P42" t="s">
        <v>9</v>
      </c>
      <c r="Q42" t="s">
        <v>9</v>
      </c>
      <c r="R42" t="s">
        <v>9</v>
      </c>
      <c r="S42" t="s">
        <v>9</v>
      </c>
      <c r="T42" t="s">
        <v>9</v>
      </c>
      <c r="U42" t="s">
        <v>9</v>
      </c>
      <c r="V42" t="s">
        <v>9</v>
      </c>
      <c r="W42" t="s">
        <v>9</v>
      </c>
      <c r="X42" t="s">
        <v>9</v>
      </c>
      <c r="Y42" t="s">
        <v>9</v>
      </c>
      <c r="Z42" t="s">
        <v>9</v>
      </c>
      <c r="AA42" t="s">
        <v>9</v>
      </c>
      <c r="AB42" t="s">
        <v>9</v>
      </c>
      <c r="AC42" t="s">
        <v>9</v>
      </c>
      <c r="AD42" t="s">
        <v>9</v>
      </c>
      <c r="AE42" t="s">
        <v>9</v>
      </c>
      <c r="AF42" t="s">
        <v>9</v>
      </c>
      <c r="AG42" t="s">
        <v>9</v>
      </c>
      <c r="AH42" t="s">
        <v>9</v>
      </c>
      <c r="AI42" t="s">
        <v>9</v>
      </c>
      <c r="AJ42" t="s">
        <v>9</v>
      </c>
      <c r="AK42" t="s">
        <v>9</v>
      </c>
      <c r="AL42" t="s">
        <v>9</v>
      </c>
      <c r="AM42" t="s">
        <v>9</v>
      </c>
      <c r="AN42" t="s">
        <v>9</v>
      </c>
      <c r="AO42" t="s">
        <v>9</v>
      </c>
      <c r="AP42" t="s">
        <v>9</v>
      </c>
      <c r="AQ42" t="s">
        <v>9</v>
      </c>
      <c r="AR42" t="s">
        <v>9</v>
      </c>
      <c r="AS42" t="s">
        <v>9</v>
      </c>
      <c r="AT42" t="s">
        <v>9</v>
      </c>
      <c r="AU42" t="s">
        <v>9</v>
      </c>
      <c r="AV42" t="s">
        <v>9</v>
      </c>
      <c r="AW42" t="s">
        <v>9</v>
      </c>
      <c r="AX42" t="s">
        <v>9</v>
      </c>
      <c r="AY42" t="s">
        <v>9</v>
      </c>
      <c r="AZ42" t="s">
        <v>9</v>
      </c>
      <c r="BA42" t="s">
        <v>9</v>
      </c>
      <c r="BB42" t="s">
        <v>9</v>
      </c>
      <c r="BC42" t="s">
        <v>9</v>
      </c>
      <c r="BD42" t="s">
        <v>9</v>
      </c>
      <c r="BE42" t="s">
        <v>9</v>
      </c>
      <c r="BF42" t="s">
        <v>9</v>
      </c>
      <c r="BG42" t="s">
        <v>9</v>
      </c>
      <c r="BH42" t="s">
        <v>9</v>
      </c>
      <c r="BI42" t="s">
        <v>9</v>
      </c>
      <c r="BJ42" t="s">
        <v>9</v>
      </c>
      <c r="BK42" t="s">
        <v>9</v>
      </c>
      <c r="BL42" t="s">
        <v>9</v>
      </c>
      <c r="BM42" t="s">
        <v>9</v>
      </c>
      <c r="BN42" t="s">
        <v>9</v>
      </c>
      <c r="BO42" t="s">
        <v>9</v>
      </c>
      <c r="BP42" t="s">
        <v>9</v>
      </c>
      <c r="BQ42" t="s">
        <v>9</v>
      </c>
      <c r="BR42" t="s">
        <v>9</v>
      </c>
    </row>
    <row r="43" spans="1:70" hidden="1">
      <c r="A43" s="169" t="s">
        <v>219</v>
      </c>
      <c r="B43" s="169" t="s">
        <v>48</v>
      </c>
      <c r="C43" s="169">
        <v>3</v>
      </c>
      <c r="D43" s="170" t="s">
        <v>591</v>
      </c>
      <c r="E43" s="170" t="str">
        <f>IF(COUNTIF(Measure_62443_3_3[[#This Row],[G 0.13 Interception of Compromising Interference Signals]:[IND.3.2.3 Insufficient regulations for the use of OT remote maintenance access]],"P")&gt;0,"X","")</f>
        <v/>
      </c>
      <c r="F43" s="170" t="str">
        <f>IF(OR(Measure_62443_3_3[[#This Row],[Requirement Selected (Prefulfilled)]]="X",Measure_62443_3_3[[#This Row],[Relevance revoked]]="Yes"),"X","")</f>
        <v/>
      </c>
      <c r="G4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3" s="170" t="str">
        <f>IF(OR(Measure_62443_3_3[[#This Row],[Requirement Selected (Prefulfilled + Mitigating)]]="X",Measure_62443_3_3[[#This Row],[Relevance revoked]]="Yes"),"X","")</f>
        <v/>
      </c>
      <c r="I43" s="172" t="str">
        <f>IF(VLOOKUP(Measure_62443_3_3[[#This Row],[FR]],'SL-T'!$A$5:$B$11,2,FALSE)&gt;=Measure_62443_3_3[[#This Row],[lowest SL-T]],"X","")</f>
        <v/>
      </c>
      <c r="J43" s="173" t="s">
        <v>91</v>
      </c>
      <c r="K43" s="174"/>
      <c r="L43" t="s">
        <v>9</v>
      </c>
      <c r="M43" t="s">
        <v>9</v>
      </c>
      <c r="N43" t="s">
        <v>9</v>
      </c>
      <c r="O43" t="s">
        <v>9</v>
      </c>
      <c r="P43" t="s">
        <v>9</v>
      </c>
      <c r="Q43" t="s">
        <v>9</v>
      </c>
      <c r="R43" t="s">
        <v>9</v>
      </c>
      <c r="S43" t="s">
        <v>9</v>
      </c>
      <c r="T43" t="s">
        <v>9</v>
      </c>
      <c r="U43" t="s">
        <v>9</v>
      </c>
      <c r="V43" t="s">
        <v>9</v>
      </c>
      <c r="W43" t="s">
        <v>9</v>
      </c>
      <c r="X43" t="s">
        <v>9</v>
      </c>
      <c r="Y43" t="s">
        <v>9</v>
      </c>
      <c r="Z43" t="s">
        <v>9</v>
      </c>
      <c r="AA43" t="s">
        <v>9</v>
      </c>
      <c r="AB43" t="s">
        <v>9</v>
      </c>
      <c r="AC43" t="s">
        <v>9</v>
      </c>
      <c r="AD43" t="s">
        <v>9</v>
      </c>
      <c r="AE43" t="s">
        <v>9</v>
      </c>
      <c r="AF43" t="s">
        <v>9</v>
      </c>
      <c r="AG43" t="s">
        <v>9</v>
      </c>
      <c r="AH43" t="s">
        <v>9</v>
      </c>
      <c r="AI43" t="s">
        <v>9</v>
      </c>
      <c r="AJ43" t="s">
        <v>9</v>
      </c>
      <c r="AK43" t="s">
        <v>9</v>
      </c>
      <c r="AL43" t="s">
        <v>9</v>
      </c>
      <c r="AM43" t="s">
        <v>9</v>
      </c>
      <c r="AN43" t="s">
        <v>9</v>
      </c>
      <c r="AO43" t="s">
        <v>9</v>
      </c>
      <c r="AP43" t="s">
        <v>9</v>
      </c>
      <c r="AQ43" t="s">
        <v>9</v>
      </c>
      <c r="AR43" t="s">
        <v>9</v>
      </c>
      <c r="AS43" t="s">
        <v>9</v>
      </c>
      <c r="AT43" t="s">
        <v>9</v>
      </c>
      <c r="AU43" t="s">
        <v>9</v>
      </c>
      <c r="AV43" t="s">
        <v>9</v>
      </c>
      <c r="AW43" t="s">
        <v>9</v>
      </c>
      <c r="AX43" t="s">
        <v>9</v>
      </c>
      <c r="AY43" t="s">
        <v>9</v>
      </c>
      <c r="AZ43" t="s">
        <v>9</v>
      </c>
      <c r="BA43" t="s">
        <v>9</v>
      </c>
      <c r="BB43" t="s">
        <v>9</v>
      </c>
      <c r="BC43" t="s">
        <v>9</v>
      </c>
      <c r="BD43" t="s">
        <v>9</v>
      </c>
      <c r="BE43" t="s">
        <v>9</v>
      </c>
    </row>
    <row r="44" spans="1:70">
      <c r="A44" s="169" t="s">
        <v>220</v>
      </c>
      <c r="B44" s="169" t="s">
        <v>48</v>
      </c>
      <c r="C44" s="169">
        <v>1</v>
      </c>
      <c r="D44" s="170" t="s">
        <v>591</v>
      </c>
      <c r="E44" s="170" t="str">
        <f>IF(COUNTIF(Measure_62443_3_3[[#This Row],[G 0.13 Interception of Compromising Interference Signals]:[IND.3.2.3 Insufficient regulations for the use of OT remote maintenance access]],"P")&gt;0,"X","")</f>
        <v/>
      </c>
      <c r="F44" s="170" t="str">
        <f>IF(OR(Measure_62443_3_3[[#This Row],[Requirement Selected (Prefulfilled)]]="X",Measure_62443_3_3[[#This Row],[Relevance revoked]]="Yes"),"X","")</f>
        <v/>
      </c>
      <c r="G4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4" s="170" t="str">
        <f>IF(OR(Measure_62443_3_3[[#This Row],[Requirement Selected (Prefulfilled + Mitigating)]]="X",Measure_62443_3_3[[#This Row],[Relevance revoked]]="Yes"),"X","")</f>
        <v/>
      </c>
      <c r="I44" s="172" t="str">
        <f>IF(VLOOKUP(Measure_62443_3_3[[#This Row],[FR]],'SL-T'!$A$5:$B$11,2,FALSE)&gt;=Measure_62443_3_3[[#This Row],[lowest SL-T]],"X","")</f>
        <v>X</v>
      </c>
      <c r="J44" s="173" t="s">
        <v>91</v>
      </c>
      <c r="K44" s="174"/>
      <c r="L44" t="s">
        <v>9</v>
      </c>
      <c r="M44" t="s">
        <v>9</v>
      </c>
      <c r="N44" t="s">
        <v>9</v>
      </c>
      <c r="O44" t="s">
        <v>9</v>
      </c>
      <c r="P44" t="s">
        <v>9</v>
      </c>
      <c r="Q44" t="s">
        <v>9</v>
      </c>
      <c r="R44" t="s">
        <v>9</v>
      </c>
      <c r="S44" t="s">
        <v>9</v>
      </c>
      <c r="T44" t="s">
        <v>9</v>
      </c>
      <c r="U44" t="s">
        <v>9</v>
      </c>
      <c r="V44" t="s">
        <v>9</v>
      </c>
      <c r="W44" t="s">
        <v>9</v>
      </c>
      <c r="X44" t="s">
        <v>9</v>
      </c>
      <c r="Y44" t="s">
        <v>9</v>
      </c>
      <c r="Z44" t="s">
        <v>9</v>
      </c>
      <c r="AA44" t="s">
        <v>9</v>
      </c>
      <c r="AB44" t="s">
        <v>9</v>
      </c>
      <c r="AC44" t="s">
        <v>9</v>
      </c>
      <c r="AD44" t="s">
        <v>9</v>
      </c>
      <c r="AE44" t="s">
        <v>9</v>
      </c>
      <c r="AF44" t="s">
        <v>9</v>
      </c>
      <c r="AG44" t="s">
        <v>9</v>
      </c>
      <c r="AH44" t="s">
        <v>9</v>
      </c>
      <c r="AI44" t="s">
        <v>9</v>
      </c>
      <c r="AJ44" t="s">
        <v>9</v>
      </c>
      <c r="AK44" t="s">
        <v>9</v>
      </c>
      <c r="AL44" t="s">
        <v>9</v>
      </c>
      <c r="AM44" t="s">
        <v>9</v>
      </c>
      <c r="AN44" t="s">
        <v>9</v>
      </c>
      <c r="AO44" t="s">
        <v>9</v>
      </c>
      <c r="AP44" t="s">
        <v>9</v>
      </c>
      <c r="AQ44" t="s">
        <v>9</v>
      </c>
      <c r="AR44" t="s">
        <v>9</v>
      </c>
      <c r="AS44" t="s">
        <v>9</v>
      </c>
      <c r="AT44" t="s">
        <v>9</v>
      </c>
      <c r="AU44" t="s">
        <v>9</v>
      </c>
      <c r="AV44" t="s">
        <v>9</v>
      </c>
      <c r="AW44" t="s">
        <v>9</v>
      </c>
      <c r="AX44" t="s">
        <v>9</v>
      </c>
      <c r="AY44" t="s">
        <v>9</v>
      </c>
      <c r="AZ44" t="s">
        <v>9</v>
      </c>
      <c r="BA44" t="s">
        <v>9</v>
      </c>
      <c r="BB44" t="s">
        <v>9</v>
      </c>
      <c r="BC44" t="s">
        <v>9</v>
      </c>
      <c r="BD44" t="s">
        <v>9</v>
      </c>
      <c r="BE44" t="s">
        <v>9</v>
      </c>
      <c r="BF44" t="s">
        <v>9</v>
      </c>
      <c r="BG44" t="s">
        <v>9</v>
      </c>
      <c r="BH44" t="s">
        <v>9</v>
      </c>
      <c r="BI44" t="s">
        <v>9</v>
      </c>
      <c r="BJ44" t="s">
        <v>9</v>
      </c>
      <c r="BK44" t="s">
        <v>9</v>
      </c>
      <c r="BL44" t="s">
        <v>9</v>
      </c>
      <c r="BM44" t="s">
        <v>9</v>
      </c>
      <c r="BN44" t="s">
        <v>9</v>
      </c>
      <c r="BO44" t="s">
        <v>9</v>
      </c>
      <c r="BP44" t="s">
        <v>9</v>
      </c>
      <c r="BQ44" t="s">
        <v>9</v>
      </c>
      <c r="BR44" t="s">
        <v>9</v>
      </c>
    </row>
    <row r="45" spans="1:70" hidden="1">
      <c r="A45" s="169" t="s">
        <v>221</v>
      </c>
      <c r="B45" s="169" t="s">
        <v>48</v>
      </c>
      <c r="C45" s="169">
        <v>3</v>
      </c>
      <c r="D45" s="170" t="s">
        <v>591</v>
      </c>
      <c r="E45" s="170" t="str">
        <f>IF(COUNTIF(Measure_62443_3_3[[#This Row],[G 0.13 Interception of Compromising Interference Signals]:[IND.3.2.3 Insufficient regulations for the use of OT remote maintenance access]],"P")&gt;0,"X","")</f>
        <v/>
      </c>
      <c r="F45" s="170" t="str">
        <f>IF(OR(Measure_62443_3_3[[#This Row],[Requirement Selected (Prefulfilled)]]="X",Measure_62443_3_3[[#This Row],[Relevance revoked]]="Yes"),"X","")</f>
        <v/>
      </c>
      <c r="G4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5" s="170" t="str">
        <f>IF(OR(Measure_62443_3_3[[#This Row],[Requirement Selected (Prefulfilled + Mitigating)]]="X",Measure_62443_3_3[[#This Row],[Relevance revoked]]="Yes"),"X","")</f>
        <v/>
      </c>
      <c r="I45" s="172" t="str">
        <f>IF(VLOOKUP(Measure_62443_3_3[[#This Row],[FR]],'SL-T'!$A$5:$B$11,2,FALSE)&gt;=Measure_62443_3_3[[#This Row],[lowest SL-T]],"X","")</f>
        <v/>
      </c>
      <c r="J45" s="173" t="s">
        <v>91</v>
      </c>
      <c r="K45" s="174"/>
      <c r="L45" t="s">
        <v>9</v>
      </c>
      <c r="M45" t="s">
        <v>9</v>
      </c>
      <c r="N45" t="s">
        <v>9</v>
      </c>
      <c r="O45" t="s">
        <v>9</v>
      </c>
      <c r="P45" t="s">
        <v>9</v>
      </c>
      <c r="Q45" t="s">
        <v>9</v>
      </c>
      <c r="R45" t="s">
        <v>9</v>
      </c>
      <c r="S45" t="s">
        <v>9</v>
      </c>
      <c r="T45" t="s">
        <v>9</v>
      </c>
      <c r="U45" t="s">
        <v>9</v>
      </c>
      <c r="V45" t="s">
        <v>9</v>
      </c>
      <c r="W45" t="s">
        <v>9</v>
      </c>
      <c r="X45" t="s">
        <v>9</v>
      </c>
      <c r="Y45" t="s">
        <v>9</v>
      </c>
      <c r="Z45" t="s">
        <v>9</v>
      </c>
      <c r="AA45" t="s">
        <v>9</v>
      </c>
      <c r="AB45" t="s">
        <v>9</v>
      </c>
      <c r="AC45" t="s">
        <v>9</v>
      </c>
      <c r="AD45" t="s">
        <v>9</v>
      </c>
      <c r="AE45" t="s">
        <v>9</v>
      </c>
      <c r="AF45" t="s">
        <v>9</v>
      </c>
      <c r="AG45" t="s">
        <v>9</v>
      </c>
      <c r="AH45" t="s">
        <v>9</v>
      </c>
      <c r="AI45" t="s">
        <v>9</v>
      </c>
      <c r="AJ45" t="s">
        <v>9</v>
      </c>
      <c r="AK45" t="s">
        <v>9</v>
      </c>
      <c r="AL45" t="s">
        <v>9</v>
      </c>
      <c r="AM45" t="s">
        <v>9</v>
      </c>
      <c r="AN45" t="s">
        <v>9</v>
      </c>
      <c r="AO45" t="s">
        <v>9</v>
      </c>
      <c r="AP45" t="s">
        <v>9</v>
      </c>
      <c r="AQ45" t="s">
        <v>9</v>
      </c>
      <c r="AR45" t="s">
        <v>9</v>
      </c>
      <c r="AS45" t="s">
        <v>9</v>
      </c>
      <c r="AT45" t="s">
        <v>9</v>
      </c>
      <c r="AU45" t="s">
        <v>9</v>
      </c>
      <c r="AV45" t="s">
        <v>9</v>
      </c>
      <c r="AW45" t="s">
        <v>9</v>
      </c>
      <c r="AX45" t="s">
        <v>9</v>
      </c>
      <c r="AY45" t="s">
        <v>9</v>
      </c>
      <c r="AZ45" t="s">
        <v>9</v>
      </c>
      <c r="BA45" t="s">
        <v>9</v>
      </c>
      <c r="BB45" t="s">
        <v>9</v>
      </c>
      <c r="BC45" t="s">
        <v>9</v>
      </c>
      <c r="BD45" t="s">
        <v>9</v>
      </c>
      <c r="BE45" t="s">
        <v>9</v>
      </c>
    </row>
    <row r="46" spans="1:70" hidden="1">
      <c r="A46" s="169" t="s">
        <v>222</v>
      </c>
      <c r="B46" s="169" t="s">
        <v>48</v>
      </c>
      <c r="C46" s="169">
        <v>3</v>
      </c>
      <c r="D46" s="170" t="s">
        <v>591</v>
      </c>
      <c r="E46" s="170" t="str">
        <f>IF(COUNTIF(Measure_62443_3_3[[#This Row],[G 0.13 Interception of Compromising Interference Signals]:[IND.3.2.3 Insufficient regulations for the use of OT remote maintenance access]],"P")&gt;0,"X","")</f>
        <v/>
      </c>
      <c r="F46" s="170" t="str">
        <f>IF(OR(Measure_62443_3_3[[#This Row],[Requirement Selected (Prefulfilled)]]="X",Measure_62443_3_3[[#This Row],[Relevance revoked]]="Yes"),"X","")</f>
        <v/>
      </c>
      <c r="G4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6" s="170" t="str">
        <f>IF(OR(Measure_62443_3_3[[#This Row],[Requirement Selected (Prefulfilled + Mitigating)]]="X",Measure_62443_3_3[[#This Row],[Relevance revoked]]="Yes"),"X","")</f>
        <v/>
      </c>
      <c r="I46" s="172" t="str">
        <f>IF(VLOOKUP(Measure_62443_3_3[[#This Row],[FR]],'SL-T'!$A$5:$B$11,2,FALSE)&gt;=Measure_62443_3_3[[#This Row],[lowest SL-T]],"X","")</f>
        <v/>
      </c>
      <c r="J46" s="173" t="s">
        <v>91</v>
      </c>
      <c r="K46" s="174"/>
      <c r="L46" t="s">
        <v>9</v>
      </c>
      <c r="M46" t="s">
        <v>9</v>
      </c>
      <c r="N46" t="s">
        <v>9</v>
      </c>
      <c r="O46" t="s">
        <v>9</v>
      </c>
      <c r="P46" t="s">
        <v>9</v>
      </c>
      <c r="Q46" t="s">
        <v>9</v>
      </c>
      <c r="R46" t="s">
        <v>9</v>
      </c>
      <c r="S46" t="s">
        <v>9</v>
      </c>
      <c r="T46" t="s">
        <v>9</v>
      </c>
      <c r="U46" t="s">
        <v>9</v>
      </c>
      <c r="V46" t="s">
        <v>9</v>
      </c>
      <c r="W46" t="s">
        <v>9</v>
      </c>
      <c r="X46" t="s">
        <v>9</v>
      </c>
      <c r="Y46" t="s">
        <v>9</v>
      </c>
      <c r="Z46" t="s">
        <v>9</v>
      </c>
      <c r="AA46" t="s">
        <v>9</v>
      </c>
      <c r="AB46" t="s">
        <v>9</v>
      </c>
      <c r="AC46" t="s">
        <v>9</v>
      </c>
      <c r="AD46" t="s">
        <v>9</v>
      </c>
      <c r="AE46" t="s">
        <v>9</v>
      </c>
      <c r="AF46" t="s">
        <v>9</v>
      </c>
      <c r="AG46" t="s">
        <v>9</v>
      </c>
      <c r="AH46" t="s">
        <v>9</v>
      </c>
      <c r="AI46" t="s">
        <v>9</v>
      </c>
      <c r="AJ46" t="s">
        <v>9</v>
      </c>
      <c r="AK46" t="s">
        <v>9</v>
      </c>
      <c r="AL46" t="s">
        <v>9</v>
      </c>
      <c r="AM46" t="s">
        <v>9</v>
      </c>
      <c r="AN46" t="s">
        <v>9</v>
      </c>
      <c r="AO46" t="s">
        <v>9</v>
      </c>
      <c r="AP46" t="s">
        <v>9</v>
      </c>
      <c r="AQ46" t="s">
        <v>9</v>
      </c>
      <c r="AR46" t="s">
        <v>9</v>
      </c>
      <c r="AS46" t="s">
        <v>9</v>
      </c>
      <c r="AT46" t="s">
        <v>9</v>
      </c>
      <c r="AU46" t="s">
        <v>9</v>
      </c>
      <c r="AV46" t="s">
        <v>9</v>
      </c>
      <c r="AW46" t="s">
        <v>9</v>
      </c>
      <c r="AX46" t="s">
        <v>9</v>
      </c>
      <c r="AY46" t="s">
        <v>9</v>
      </c>
      <c r="AZ46" t="s">
        <v>9</v>
      </c>
      <c r="BA46" t="s">
        <v>9</v>
      </c>
      <c r="BB46" t="s">
        <v>9</v>
      </c>
      <c r="BC46" t="s">
        <v>9</v>
      </c>
      <c r="BD46" t="s">
        <v>9</v>
      </c>
      <c r="BE46" t="s">
        <v>9</v>
      </c>
    </row>
    <row r="47" spans="1:70">
      <c r="A47" s="169" t="s">
        <v>223</v>
      </c>
      <c r="B47" s="169" t="s">
        <v>48</v>
      </c>
      <c r="C47" s="169">
        <v>2</v>
      </c>
      <c r="D47" s="170" t="s">
        <v>591</v>
      </c>
      <c r="E47" s="170" t="str">
        <f>IF(COUNTIF(Measure_62443_3_3[[#This Row],[G 0.13 Interception of Compromising Interference Signals]:[IND.3.2.3 Insufficient regulations for the use of OT remote maintenance access]],"P")&gt;0,"X","")</f>
        <v/>
      </c>
      <c r="F47" s="170" t="str">
        <f>IF(OR(Measure_62443_3_3[[#This Row],[Requirement Selected (Prefulfilled)]]="X",Measure_62443_3_3[[#This Row],[Relevance revoked]]="Yes"),"X","")</f>
        <v/>
      </c>
      <c r="G4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7" s="170" t="str">
        <f>IF(OR(Measure_62443_3_3[[#This Row],[Requirement Selected (Prefulfilled + Mitigating)]]="X",Measure_62443_3_3[[#This Row],[Relevance revoked]]="Yes"),"X","")</f>
        <v/>
      </c>
      <c r="I47" s="172" t="str">
        <f>IF(VLOOKUP(Measure_62443_3_3[[#This Row],[FR]],'SL-T'!$A$5:$B$11,2,FALSE)&gt;=Measure_62443_3_3[[#This Row],[lowest SL-T]],"X","")</f>
        <v>X</v>
      </c>
      <c r="J47" s="173" t="s">
        <v>91</v>
      </c>
      <c r="K47" s="174"/>
      <c r="L47" t="s">
        <v>9</v>
      </c>
      <c r="M47" t="s">
        <v>9</v>
      </c>
      <c r="N47" t="s">
        <v>9</v>
      </c>
      <c r="O47" t="s">
        <v>9</v>
      </c>
      <c r="P47" t="s">
        <v>9</v>
      </c>
      <c r="Q47" t="s">
        <v>9</v>
      </c>
      <c r="R47" t="s">
        <v>9</v>
      </c>
      <c r="S47" t="s">
        <v>9</v>
      </c>
      <c r="T47" t="s">
        <v>9</v>
      </c>
      <c r="U47" t="s">
        <v>9</v>
      </c>
      <c r="V47" t="s">
        <v>9</v>
      </c>
      <c r="W47" t="s">
        <v>9</v>
      </c>
      <c r="X47" t="s">
        <v>9</v>
      </c>
      <c r="Y47" t="s">
        <v>9</v>
      </c>
      <c r="Z47" t="s">
        <v>9</v>
      </c>
      <c r="AA47" t="s">
        <v>9</v>
      </c>
      <c r="AB47" t="s">
        <v>9</v>
      </c>
      <c r="AC47" t="s">
        <v>9</v>
      </c>
      <c r="AD47" t="s">
        <v>9</v>
      </c>
      <c r="AE47" t="s">
        <v>9</v>
      </c>
      <c r="AF47" t="s">
        <v>9</v>
      </c>
      <c r="AG47" t="s">
        <v>9</v>
      </c>
      <c r="AH47" t="s">
        <v>9</v>
      </c>
      <c r="AI47" t="s">
        <v>9</v>
      </c>
      <c r="AJ47" t="s">
        <v>9</v>
      </c>
      <c r="AK47" t="s">
        <v>9</v>
      </c>
      <c r="AL47" t="s">
        <v>9</v>
      </c>
      <c r="AM47" t="s">
        <v>9</v>
      </c>
      <c r="AN47" t="s">
        <v>9</v>
      </c>
      <c r="AO47" t="s">
        <v>9</v>
      </c>
      <c r="AP47" t="s">
        <v>9</v>
      </c>
      <c r="AQ47" t="s">
        <v>9</v>
      </c>
      <c r="AR47" t="s">
        <v>9</v>
      </c>
      <c r="AS47" t="s">
        <v>9</v>
      </c>
      <c r="AT47" t="s">
        <v>9</v>
      </c>
      <c r="AU47" t="s">
        <v>9</v>
      </c>
      <c r="AV47" t="s">
        <v>9</v>
      </c>
      <c r="AW47" t="s">
        <v>9</v>
      </c>
      <c r="AX47" t="s">
        <v>9</v>
      </c>
      <c r="AY47" t="s">
        <v>9</v>
      </c>
      <c r="AZ47" t="s">
        <v>9</v>
      </c>
      <c r="BA47" t="s">
        <v>9</v>
      </c>
      <c r="BB47" t="s">
        <v>9</v>
      </c>
      <c r="BC47" t="s">
        <v>9</v>
      </c>
      <c r="BD47" t="s">
        <v>9</v>
      </c>
      <c r="BE47" t="s">
        <v>9</v>
      </c>
    </row>
    <row r="48" spans="1:70" hidden="1">
      <c r="A48" s="169" t="s">
        <v>224</v>
      </c>
      <c r="B48" s="169" t="s">
        <v>48</v>
      </c>
      <c r="C48" s="169">
        <v>3</v>
      </c>
      <c r="D48" s="170" t="s">
        <v>591</v>
      </c>
      <c r="E48" s="170" t="str">
        <f>IF(COUNTIF(Measure_62443_3_3[[#This Row],[G 0.13 Interception of Compromising Interference Signals]:[IND.3.2.3 Insufficient regulations for the use of OT remote maintenance access]],"P")&gt;0,"X","")</f>
        <v/>
      </c>
      <c r="F48" s="170" t="str">
        <f>IF(OR(Measure_62443_3_3[[#This Row],[Requirement Selected (Prefulfilled)]]="X",Measure_62443_3_3[[#This Row],[Relevance revoked]]="Yes"),"X","")</f>
        <v/>
      </c>
      <c r="G4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8" s="170" t="str">
        <f>IF(OR(Measure_62443_3_3[[#This Row],[Requirement Selected (Prefulfilled + Mitigating)]]="X",Measure_62443_3_3[[#This Row],[Relevance revoked]]="Yes"),"X","")</f>
        <v/>
      </c>
      <c r="I48" s="172" t="str">
        <f>IF(VLOOKUP(Measure_62443_3_3[[#This Row],[FR]],'SL-T'!$A$5:$B$11,2,FALSE)&gt;=Measure_62443_3_3[[#This Row],[lowest SL-T]],"X","")</f>
        <v/>
      </c>
      <c r="J48" s="173" t="s">
        <v>91</v>
      </c>
      <c r="K48" s="174"/>
      <c r="L48" t="s">
        <v>9</v>
      </c>
      <c r="M48" t="s">
        <v>9</v>
      </c>
      <c r="N48" t="s">
        <v>9</v>
      </c>
      <c r="O48" t="s">
        <v>9</v>
      </c>
      <c r="P48" t="s">
        <v>9</v>
      </c>
      <c r="Q48" t="s">
        <v>9</v>
      </c>
      <c r="R48" t="s">
        <v>9</v>
      </c>
      <c r="S48" t="s">
        <v>9</v>
      </c>
      <c r="T48" t="s">
        <v>9</v>
      </c>
      <c r="U48" t="s">
        <v>9</v>
      </c>
      <c r="V48" t="s">
        <v>9</v>
      </c>
      <c r="W48" t="s">
        <v>9</v>
      </c>
      <c r="X48" t="s">
        <v>9</v>
      </c>
      <c r="Y48" t="s">
        <v>9</v>
      </c>
      <c r="Z48" t="s">
        <v>9</v>
      </c>
      <c r="AA48" t="s">
        <v>9</v>
      </c>
      <c r="AB48" t="s">
        <v>9</v>
      </c>
      <c r="AC48" t="s">
        <v>9</v>
      </c>
      <c r="AD48" t="s">
        <v>9</v>
      </c>
      <c r="AE48" t="s">
        <v>9</v>
      </c>
      <c r="AF48" t="s">
        <v>9</v>
      </c>
      <c r="AG48" t="s">
        <v>9</v>
      </c>
      <c r="AH48" t="s">
        <v>9</v>
      </c>
      <c r="AI48" t="s">
        <v>9</v>
      </c>
      <c r="AJ48" t="s">
        <v>9</v>
      </c>
      <c r="AK48" t="s">
        <v>9</v>
      </c>
      <c r="AL48" t="s">
        <v>9</v>
      </c>
      <c r="AM48" t="s">
        <v>9</v>
      </c>
      <c r="AN48" t="s">
        <v>9</v>
      </c>
      <c r="AO48" t="s">
        <v>9</v>
      </c>
      <c r="AP48" t="s">
        <v>9</v>
      </c>
      <c r="AQ48" t="s">
        <v>9</v>
      </c>
      <c r="AR48" t="s">
        <v>9</v>
      </c>
      <c r="AS48" t="s">
        <v>9</v>
      </c>
      <c r="AT48" t="s">
        <v>9</v>
      </c>
      <c r="AU48" t="s">
        <v>9</v>
      </c>
      <c r="AV48" t="s">
        <v>9</v>
      </c>
      <c r="AW48" t="s">
        <v>9</v>
      </c>
      <c r="AX48" t="s">
        <v>9</v>
      </c>
      <c r="AY48" t="s">
        <v>9</v>
      </c>
      <c r="AZ48" t="s">
        <v>9</v>
      </c>
      <c r="BA48" t="s">
        <v>9</v>
      </c>
      <c r="BB48" t="s">
        <v>9</v>
      </c>
      <c r="BC48" t="s">
        <v>9</v>
      </c>
      <c r="BD48" t="s">
        <v>9</v>
      </c>
      <c r="BE48" t="s">
        <v>9</v>
      </c>
    </row>
    <row r="49" spans="1:70" hidden="1">
      <c r="A49" s="169" t="s">
        <v>225</v>
      </c>
      <c r="B49" s="169" t="s">
        <v>48</v>
      </c>
      <c r="C49" s="169">
        <v>4</v>
      </c>
      <c r="D49" s="170" t="s">
        <v>591</v>
      </c>
      <c r="E49" s="170" t="str">
        <f>IF(COUNTIF(Measure_62443_3_3[[#This Row],[G 0.13 Interception of Compromising Interference Signals]:[IND.3.2.3 Insufficient regulations for the use of OT remote maintenance access]],"P")&gt;0,"X","")</f>
        <v/>
      </c>
      <c r="F49" s="170" t="str">
        <f>IF(OR(Measure_62443_3_3[[#This Row],[Requirement Selected (Prefulfilled)]]="X",Measure_62443_3_3[[#This Row],[Relevance revoked]]="Yes"),"X","")</f>
        <v/>
      </c>
      <c r="G4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49" s="170" t="str">
        <f>IF(OR(Measure_62443_3_3[[#This Row],[Requirement Selected (Prefulfilled + Mitigating)]]="X",Measure_62443_3_3[[#This Row],[Relevance revoked]]="Yes"),"X","")</f>
        <v/>
      </c>
      <c r="I49" s="172" t="str">
        <f>IF(VLOOKUP(Measure_62443_3_3[[#This Row],[FR]],'SL-T'!$A$5:$B$11,2,FALSE)&gt;=Measure_62443_3_3[[#This Row],[lowest SL-T]],"X","")</f>
        <v/>
      </c>
      <c r="J49" s="173" t="s">
        <v>91</v>
      </c>
      <c r="K49" s="174"/>
      <c r="L49" t="s">
        <v>9</v>
      </c>
      <c r="M49" t="s">
        <v>9</v>
      </c>
      <c r="N49" t="s">
        <v>9</v>
      </c>
      <c r="O49" t="s">
        <v>9</v>
      </c>
      <c r="P49" t="s">
        <v>9</v>
      </c>
      <c r="Q49" t="s">
        <v>9</v>
      </c>
      <c r="R49" t="s">
        <v>9</v>
      </c>
      <c r="S49" t="s">
        <v>9</v>
      </c>
      <c r="T49" t="s">
        <v>9</v>
      </c>
      <c r="U49" t="s">
        <v>9</v>
      </c>
      <c r="V49" t="s">
        <v>9</v>
      </c>
      <c r="W49" t="s">
        <v>9</v>
      </c>
      <c r="X49" t="s">
        <v>9</v>
      </c>
      <c r="Y49" t="s">
        <v>9</v>
      </c>
      <c r="Z49" t="s">
        <v>9</v>
      </c>
      <c r="AA49" t="s">
        <v>9</v>
      </c>
      <c r="AB49" t="s">
        <v>9</v>
      </c>
      <c r="AC49" t="s">
        <v>9</v>
      </c>
      <c r="AD49" t="s">
        <v>9</v>
      </c>
      <c r="AE49" t="s">
        <v>9</v>
      </c>
      <c r="AF49" t="s">
        <v>9</v>
      </c>
      <c r="AG49" t="s">
        <v>9</v>
      </c>
      <c r="AH49" t="s">
        <v>9</v>
      </c>
      <c r="AI49" t="s">
        <v>9</v>
      </c>
      <c r="AJ49" t="s">
        <v>9</v>
      </c>
      <c r="AK49" t="s">
        <v>9</v>
      </c>
      <c r="AL49" t="s">
        <v>9</v>
      </c>
      <c r="AM49" t="s">
        <v>9</v>
      </c>
      <c r="AN49" t="s">
        <v>9</v>
      </c>
      <c r="AO49" t="s">
        <v>9</v>
      </c>
      <c r="AP49" t="s">
        <v>9</v>
      </c>
      <c r="AQ49" t="s">
        <v>9</v>
      </c>
      <c r="AR49" t="s">
        <v>9</v>
      </c>
      <c r="AS49" t="s">
        <v>9</v>
      </c>
      <c r="AT49" t="s">
        <v>9</v>
      </c>
      <c r="AU49" t="s">
        <v>9</v>
      </c>
      <c r="AV49" t="s">
        <v>9</v>
      </c>
      <c r="AW49" t="s">
        <v>9</v>
      </c>
      <c r="AX49" t="s">
        <v>9</v>
      </c>
      <c r="AY49" t="s">
        <v>9</v>
      </c>
      <c r="AZ49" t="s">
        <v>9</v>
      </c>
      <c r="BA49" t="s">
        <v>9</v>
      </c>
      <c r="BB49" t="s">
        <v>9</v>
      </c>
      <c r="BC49" t="s">
        <v>9</v>
      </c>
      <c r="BD49" t="s">
        <v>9</v>
      </c>
      <c r="BE49" t="s">
        <v>9</v>
      </c>
    </row>
    <row r="50" spans="1:70" hidden="1">
      <c r="A50" s="169" t="s">
        <v>226</v>
      </c>
      <c r="B50" s="169" t="s">
        <v>48</v>
      </c>
      <c r="C50" s="169">
        <v>3</v>
      </c>
      <c r="D50" s="170" t="s">
        <v>591</v>
      </c>
      <c r="E50" s="170" t="str">
        <f>IF(COUNTIF(Measure_62443_3_3[[#This Row],[G 0.13 Interception of Compromising Interference Signals]:[IND.3.2.3 Insufficient regulations for the use of OT remote maintenance access]],"P")&gt;0,"X","")</f>
        <v/>
      </c>
      <c r="F50" s="170" t="str">
        <f>IF(OR(Measure_62443_3_3[[#This Row],[Requirement Selected (Prefulfilled)]]="X",Measure_62443_3_3[[#This Row],[Relevance revoked]]="Yes"),"X","")</f>
        <v/>
      </c>
      <c r="G5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0" s="170" t="str">
        <f>IF(OR(Measure_62443_3_3[[#This Row],[Requirement Selected (Prefulfilled + Mitigating)]]="X",Measure_62443_3_3[[#This Row],[Relevance revoked]]="Yes"),"X","")</f>
        <v/>
      </c>
      <c r="I50" s="172" t="str">
        <f>IF(VLOOKUP(Measure_62443_3_3[[#This Row],[FR]],'SL-T'!$A$5:$B$11,2,FALSE)&gt;=Measure_62443_3_3[[#This Row],[lowest SL-T]],"X","")</f>
        <v/>
      </c>
      <c r="J50" s="173" t="s">
        <v>91</v>
      </c>
      <c r="K50" s="174"/>
      <c r="L50" t="s">
        <v>9</v>
      </c>
      <c r="M50" t="s">
        <v>9</v>
      </c>
      <c r="N50" t="s">
        <v>9</v>
      </c>
      <c r="O50" t="s">
        <v>9</v>
      </c>
      <c r="P50" t="s">
        <v>9</v>
      </c>
      <c r="Q50" t="s">
        <v>9</v>
      </c>
      <c r="R50" t="s">
        <v>9</v>
      </c>
      <c r="S50" t="s">
        <v>9</v>
      </c>
      <c r="T50" t="s">
        <v>9</v>
      </c>
      <c r="U50" t="s">
        <v>9</v>
      </c>
      <c r="V50" t="s">
        <v>9</v>
      </c>
      <c r="W50" t="s">
        <v>9</v>
      </c>
      <c r="X50" t="s">
        <v>9</v>
      </c>
      <c r="Y50" t="s">
        <v>9</v>
      </c>
      <c r="Z50" t="s">
        <v>9</v>
      </c>
      <c r="AA50" t="s">
        <v>9</v>
      </c>
      <c r="AB50" t="s">
        <v>9</v>
      </c>
      <c r="AC50" t="s">
        <v>9</v>
      </c>
      <c r="AD50" t="s">
        <v>9</v>
      </c>
      <c r="AE50" t="s">
        <v>9</v>
      </c>
      <c r="AF50" t="s">
        <v>9</v>
      </c>
      <c r="AG50" t="s">
        <v>9</v>
      </c>
      <c r="AH50" t="s">
        <v>9</v>
      </c>
      <c r="AI50" t="s">
        <v>9</v>
      </c>
      <c r="AJ50" t="s">
        <v>9</v>
      </c>
      <c r="AK50" t="s">
        <v>9</v>
      </c>
      <c r="AL50" t="s">
        <v>9</v>
      </c>
      <c r="AM50" t="s">
        <v>9</v>
      </c>
      <c r="AN50" t="s">
        <v>9</v>
      </c>
      <c r="AO50" t="s">
        <v>9</v>
      </c>
      <c r="AP50" t="s">
        <v>9</v>
      </c>
      <c r="AQ50" t="s">
        <v>9</v>
      </c>
      <c r="AR50" t="s">
        <v>9</v>
      </c>
      <c r="AS50" t="s">
        <v>9</v>
      </c>
      <c r="AT50" t="s">
        <v>9</v>
      </c>
      <c r="AU50" t="s">
        <v>9</v>
      </c>
      <c r="AV50" t="s">
        <v>9</v>
      </c>
      <c r="AW50" t="s">
        <v>9</v>
      </c>
      <c r="AX50" t="s">
        <v>9</v>
      </c>
      <c r="AY50" t="s">
        <v>9</v>
      </c>
      <c r="AZ50" t="s">
        <v>9</v>
      </c>
      <c r="BA50" t="s">
        <v>9</v>
      </c>
      <c r="BB50" t="s">
        <v>9</v>
      </c>
      <c r="BC50" t="s">
        <v>9</v>
      </c>
      <c r="BD50" t="s">
        <v>9</v>
      </c>
      <c r="BE50" t="s">
        <v>9</v>
      </c>
    </row>
    <row r="51" spans="1:70" hidden="1">
      <c r="A51" s="169" t="s">
        <v>227</v>
      </c>
      <c r="B51" s="169" t="s">
        <v>48</v>
      </c>
      <c r="C51" s="169">
        <v>4</v>
      </c>
      <c r="D51" s="170" t="s">
        <v>591</v>
      </c>
      <c r="E51" s="170" t="str">
        <f>IF(COUNTIF(Measure_62443_3_3[[#This Row],[G 0.13 Interception of Compromising Interference Signals]:[IND.3.2.3 Insufficient regulations for the use of OT remote maintenance access]],"P")&gt;0,"X","")</f>
        <v/>
      </c>
      <c r="F51" s="170" t="str">
        <f>IF(OR(Measure_62443_3_3[[#This Row],[Requirement Selected (Prefulfilled)]]="X",Measure_62443_3_3[[#This Row],[Relevance revoked]]="Yes"),"X","")</f>
        <v/>
      </c>
      <c r="G5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1" s="170" t="str">
        <f>IF(OR(Measure_62443_3_3[[#This Row],[Requirement Selected (Prefulfilled + Mitigating)]]="X",Measure_62443_3_3[[#This Row],[Relevance revoked]]="Yes"),"X","")</f>
        <v/>
      </c>
      <c r="I51" s="172" t="str">
        <f>IF(VLOOKUP(Measure_62443_3_3[[#This Row],[FR]],'SL-T'!$A$5:$B$11,2,FALSE)&gt;=Measure_62443_3_3[[#This Row],[lowest SL-T]],"X","")</f>
        <v/>
      </c>
      <c r="J51" s="173" t="s">
        <v>91</v>
      </c>
      <c r="K51" s="174"/>
      <c r="L51" t="s">
        <v>9</v>
      </c>
      <c r="M51" t="s">
        <v>9</v>
      </c>
      <c r="N51" t="s">
        <v>9</v>
      </c>
      <c r="O51" t="s">
        <v>9</v>
      </c>
      <c r="P51" t="s">
        <v>9</v>
      </c>
      <c r="Q51" t="s">
        <v>9</v>
      </c>
      <c r="R51" t="s">
        <v>9</v>
      </c>
      <c r="S51" t="s">
        <v>9</v>
      </c>
      <c r="T51" t="s">
        <v>9</v>
      </c>
      <c r="U51" t="s">
        <v>9</v>
      </c>
      <c r="V51" t="s">
        <v>9</v>
      </c>
      <c r="W51" t="s">
        <v>9</v>
      </c>
      <c r="X51" t="s">
        <v>9</v>
      </c>
      <c r="Y51" t="s">
        <v>9</v>
      </c>
      <c r="Z51" t="s">
        <v>9</v>
      </c>
      <c r="AA51" t="s">
        <v>9</v>
      </c>
      <c r="AB51" t="s">
        <v>9</v>
      </c>
      <c r="AC51" t="s">
        <v>9</v>
      </c>
      <c r="AD51" t="s">
        <v>9</v>
      </c>
      <c r="AE51" t="s">
        <v>9</v>
      </c>
      <c r="AF51" t="s">
        <v>9</v>
      </c>
      <c r="AG51" t="s">
        <v>9</v>
      </c>
      <c r="AH51" t="s">
        <v>9</v>
      </c>
      <c r="AI51" t="s">
        <v>9</v>
      </c>
      <c r="AJ51" t="s">
        <v>9</v>
      </c>
      <c r="AK51" t="s">
        <v>9</v>
      </c>
      <c r="AL51" t="s">
        <v>9</v>
      </c>
      <c r="AM51" t="s">
        <v>9</v>
      </c>
      <c r="AN51" t="s">
        <v>9</v>
      </c>
      <c r="AO51" t="s">
        <v>9</v>
      </c>
      <c r="AP51" t="s">
        <v>9</v>
      </c>
      <c r="AQ51" t="s">
        <v>9</v>
      </c>
      <c r="AR51" t="s">
        <v>9</v>
      </c>
      <c r="AS51" t="s">
        <v>9</v>
      </c>
      <c r="AT51" t="s">
        <v>9</v>
      </c>
      <c r="AU51" t="s">
        <v>9</v>
      </c>
      <c r="AV51" t="s">
        <v>9</v>
      </c>
      <c r="AW51" t="s">
        <v>9</v>
      </c>
      <c r="AX51" t="s">
        <v>9</v>
      </c>
      <c r="AY51" t="s">
        <v>9</v>
      </c>
      <c r="AZ51" t="s">
        <v>9</v>
      </c>
      <c r="BA51" t="s">
        <v>9</v>
      </c>
      <c r="BB51" t="s">
        <v>9</v>
      </c>
      <c r="BC51" t="s">
        <v>9</v>
      </c>
      <c r="BD51" t="s">
        <v>9</v>
      </c>
      <c r="BE51" t="s">
        <v>9</v>
      </c>
    </row>
    <row r="52" spans="1:70" hidden="1">
      <c r="A52" s="169" t="s">
        <v>228</v>
      </c>
      <c r="B52" s="169" t="s">
        <v>49</v>
      </c>
      <c r="C52" s="169">
        <v>1</v>
      </c>
      <c r="D52" s="170" t="s">
        <v>591</v>
      </c>
      <c r="E52" s="170" t="str">
        <f>IF(COUNTIF(Measure_62443_3_3[[#This Row],[G 0.13 Interception of Compromising Interference Signals]:[IND.3.2.3 Insufficient regulations for the use of OT remote maintenance access]],"P")&gt;0,"X","")</f>
        <v/>
      </c>
      <c r="F52" s="170" t="str">
        <f>IF(OR(Measure_62443_3_3[[#This Row],[Requirement Selected (Prefulfilled)]]="X",Measure_62443_3_3[[#This Row],[Relevance revoked]]="Yes"),"X","")</f>
        <v/>
      </c>
      <c r="G5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2" s="170" t="str">
        <f>IF(OR(Measure_62443_3_3[[#This Row],[Requirement Selected (Prefulfilled + Mitigating)]]="X",Measure_62443_3_3[[#This Row],[Relevance revoked]]="Yes"),"X","")</f>
        <v/>
      </c>
      <c r="I52" s="172" t="str">
        <f>IF(VLOOKUP(Measure_62443_3_3[[#This Row],[FR]],'SL-T'!$A$5:$B$11,2,FALSE)&gt;=Measure_62443_3_3[[#This Row],[lowest SL-T]],"X","")</f>
        <v/>
      </c>
      <c r="J52" s="173" t="s">
        <v>91</v>
      </c>
      <c r="K52" s="174"/>
      <c r="L52" t="s">
        <v>9</v>
      </c>
      <c r="M52" t="s">
        <v>9</v>
      </c>
      <c r="N52" t="s">
        <v>9</v>
      </c>
      <c r="O52" t="s">
        <v>9</v>
      </c>
      <c r="P52" t="s">
        <v>9</v>
      </c>
      <c r="Q52" t="s">
        <v>9</v>
      </c>
      <c r="R52" t="s">
        <v>9</v>
      </c>
      <c r="S52" t="s">
        <v>9</v>
      </c>
      <c r="T52" t="s">
        <v>9</v>
      </c>
      <c r="U52" t="s">
        <v>9</v>
      </c>
      <c r="V52" t="s">
        <v>9</v>
      </c>
      <c r="W52" t="s">
        <v>9</v>
      </c>
      <c r="X52" t="s">
        <v>9</v>
      </c>
      <c r="Y52" t="s">
        <v>9</v>
      </c>
      <c r="Z52" t="s">
        <v>9</v>
      </c>
      <c r="AA52" t="s">
        <v>9</v>
      </c>
      <c r="AB52" t="s">
        <v>9</v>
      </c>
      <c r="AC52" t="s">
        <v>9</v>
      </c>
      <c r="AD52" t="s">
        <v>9</v>
      </c>
      <c r="AE52" t="s">
        <v>9</v>
      </c>
      <c r="AF52" t="s">
        <v>9</v>
      </c>
      <c r="AG52" t="s">
        <v>9</v>
      </c>
      <c r="AH52" t="s">
        <v>9</v>
      </c>
      <c r="AI52" t="s">
        <v>9</v>
      </c>
      <c r="AJ52" t="s">
        <v>9</v>
      </c>
      <c r="AK52" t="s">
        <v>9</v>
      </c>
      <c r="AL52" t="s">
        <v>9</v>
      </c>
      <c r="AM52" t="s">
        <v>9</v>
      </c>
      <c r="AN52" t="s">
        <v>9</v>
      </c>
      <c r="AO52" t="s">
        <v>9</v>
      </c>
      <c r="AP52" t="s">
        <v>9</v>
      </c>
      <c r="AQ52" t="s">
        <v>9</v>
      </c>
      <c r="AR52" t="s">
        <v>9</v>
      </c>
      <c r="AS52" t="s">
        <v>9</v>
      </c>
      <c r="AT52" t="s">
        <v>9</v>
      </c>
      <c r="AU52" t="s">
        <v>9</v>
      </c>
      <c r="AV52" t="s">
        <v>9</v>
      </c>
      <c r="AW52" t="s">
        <v>9</v>
      </c>
      <c r="AX52" t="s">
        <v>9</v>
      </c>
      <c r="AY52" t="s">
        <v>9</v>
      </c>
      <c r="AZ52" t="s">
        <v>9</v>
      </c>
      <c r="BA52" t="s">
        <v>9</v>
      </c>
      <c r="BB52" t="s">
        <v>9</v>
      </c>
      <c r="BC52" t="s">
        <v>9</v>
      </c>
      <c r="BD52" t="s">
        <v>9</v>
      </c>
      <c r="BE52" t="s">
        <v>9</v>
      </c>
      <c r="BF52" t="s">
        <v>9</v>
      </c>
      <c r="BG52" t="s">
        <v>9</v>
      </c>
      <c r="BH52" t="s">
        <v>9</v>
      </c>
      <c r="BI52" t="s">
        <v>9</v>
      </c>
      <c r="BJ52" t="s">
        <v>9</v>
      </c>
      <c r="BK52" t="s">
        <v>9</v>
      </c>
      <c r="BL52" t="s">
        <v>9</v>
      </c>
      <c r="BM52" t="s">
        <v>9</v>
      </c>
      <c r="BN52" t="s">
        <v>9</v>
      </c>
      <c r="BO52" t="s">
        <v>9</v>
      </c>
      <c r="BP52" t="s">
        <v>9</v>
      </c>
      <c r="BQ52" t="s">
        <v>9</v>
      </c>
      <c r="BR52" t="s">
        <v>9</v>
      </c>
    </row>
    <row r="53" spans="1:70" hidden="1">
      <c r="A53" s="169" t="s">
        <v>229</v>
      </c>
      <c r="B53" s="169" t="s">
        <v>49</v>
      </c>
      <c r="C53" s="169">
        <v>3</v>
      </c>
      <c r="D53" s="170" t="s">
        <v>591</v>
      </c>
      <c r="E53" s="170" t="str">
        <f>IF(COUNTIF(Measure_62443_3_3[[#This Row],[G 0.13 Interception of Compromising Interference Signals]:[IND.3.2.3 Insufficient regulations for the use of OT remote maintenance access]],"P")&gt;0,"X","")</f>
        <v/>
      </c>
      <c r="F53" s="170" t="str">
        <f>IF(OR(Measure_62443_3_3[[#This Row],[Requirement Selected (Prefulfilled)]]="X",Measure_62443_3_3[[#This Row],[Relevance revoked]]="Yes"),"X","")</f>
        <v/>
      </c>
      <c r="G5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3" s="170" t="str">
        <f>IF(OR(Measure_62443_3_3[[#This Row],[Requirement Selected (Prefulfilled + Mitigating)]]="X",Measure_62443_3_3[[#This Row],[Relevance revoked]]="Yes"),"X","")</f>
        <v/>
      </c>
      <c r="I53" s="172" t="str">
        <f>IF(VLOOKUP(Measure_62443_3_3[[#This Row],[FR]],'SL-T'!$A$5:$B$11,2,FALSE)&gt;=Measure_62443_3_3[[#This Row],[lowest SL-T]],"X","")</f>
        <v/>
      </c>
      <c r="J53" s="173" t="s">
        <v>91</v>
      </c>
      <c r="K53" s="174"/>
      <c r="L53" t="s">
        <v>9</v>
      </c>
      <c r="M53" t="s">
        <v>9</v>
      </c>
      <c r="N53" t="s">
        <v>9</v>
      </c>
      <c r="O53" t="s">
        <v>9</v>
      </c>
      <c r="P53" t="s">
        <v>9</v>
      </c>
      <c r="Q53" t="s">
        <v>9</v>
      </c>
      <c r="R53" t="s">
        <v>9</v>
      </c>
      <c r="S53" t="s">
        <v>9</v>
      </c>
      <c r="T53" t="s">
        <v>9</v>
      </c>
      <c r="U53" t="s">
        <v>9</v>
      </c>
      <c r="V53" t="s">
        <v>9</v>
      </c>
      <c r="W53" t="s">
        <v>9</v>
      </c>
      <c r="X53" t="s">
        <v>9</v>
      </c>
      <c r="Y53" t="s">
        <v>9</v>
      </c>
      <c r="Z53" t="s">
        <v>9</v>
      </c>
      <c r="AA53" t="s">
        <v>9</v>
      </c>
      <c r="AB53" t="s">
        <v>9</v>
      </c>
      <c r="AC53" t="s">
        <v>9</v>
      </c>
      <c r="AD53" t="s">
        <v>9</v>
      </c>
      <c r="AE53" t="s">
        <v>9</v>
      </c>
      <c r="AF53" t="s">
        <v>9</v>
      </c>
      <c r="AG53" t="s">
        <v>9</v>
      </c>
      <c r="AH53" t="s">
        <v>9</v>
      </c>
      <c r="AI53" t="s">
        <v>9</v>
      </c>
      <c r="AJ53" t="s">
        <v>9</v>
      </c>
      <c r="AK53" t="s">
        <v>9</v>
      </c>
      <c r="AL53" t="s">
        <v>9</v>
      </c>
      <c r="AM53" t="s">
        <v>9</v>
      </c>
      <c r="AN53" t="s">
        <v>9</v>
      </c>
      <c r="AO53" t="s">
        <v>9</v>
      </c>
      <c r="AP53" t="s">
        <v>9</v>
      </c>
      <c r="AQ53" t="s">
        <v>9</v>
      </c>
      <c r="AR53" t="s">
        <v>9</v>
      </c>
      <c r="AS53" t="s">
        <v>9</v>
      </c>
      <c r="AT53" t="s">
        <v>9</v>
      </c>
      <c r="AU53" t="s">
        <v>9</v>
      </c>
      <c r="AV53" t="s">
        <v>9</v>
      </c>
      <c r="AW53" t="s">
        <v>9</v>
      </c>
      <c r="AX53" t="s">
        <v>9</v>
      </c>
      <c r="AY53" t="s">
        <v>9</v>
      </c>
      <c r="AZ53" t="s">
        <v>9</v>
      </c>
      <c r="BA53" t="s">
        <v>9</v>
      </c>
      <c r="BB53" t="s">
        <v>9</v>
      </c>
      <c r="BC53" t="s">
        <v>9</v>
      </c>
      <c r="BD53" t="s">
        <v>9</v>
      </c>
      <c r="BE53" t="s">
        <v>9</v>
      </c>
    </row>
    <row r="54" spans="1:70" hidden="1">
      <c r="A54" s="169" t="s">
        <v>230</v>
      </c>
      <c r="B54" s="169" t="s">
        <v>49</v>
      </c>
      <c r="C54" s="169">
        <v>1</v>
      </c>
      <c r="D54" s="170" t="s">
        <v>591</v>
      </c>
      <c r="E54" s="170" t="str">
        <f>IF(COUNTIF(Measure_62443_3_3[[#This Row],[G 0.13 Interception of Compromising Interference Signals]:[IND.3.2.3 Insufficient regulations for the use of OT remote maintenance access]],"P")&gt;0,"X","")</f>
        <v/>
      </c>
      <c r="F54" s="170" t="str">
        <f>IF(OR(Measure_62443_3_3[[#This Row],[Requirement Selected (Prefulfilled)]]="X",Measure_62443_3_3[[#This Row],[Relevance revoked]]="Yes"),"X","")</f>
        <v/>
      </c>
      <c r="G5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4" s="170" t="str">
        <f>IF(OR(Measure_62443_3_3[[#This Row],[Requirement Selected (Prefulfilled + Mitigating)]]="X",Measure_62443_3_3[[#This Row],[Relevance revoked]]="Yes"),"X","")</f>
        <v/>
      </c>
      <c r="I54" s="172" t="str">
        <f>IF(VLOOKUP(Measure_62443_3_3[[#This Row],[FR]],'SL-T'!$A$5:$B$11,2,FALSE)&gt;=Measure_62443_3_3[[#This Row],[lowest SL-T]],"X","")</f>
        <v/>
      </c>
      <c r="J54" s="173" t="s">
        <v>91</v>
      </c>
      <c r="K54" s="174"/>
      <c r="L54" t="s">
        <v>9</v>
      </c>
      <c r="M54" t="s">
        <v>9</v>
      </c>
      <c r="N54" t="s">
        <v>9</v>
      </c>
      <c r="O54" t="s">
        <v>9</v>
      </c>
      <c r="P54" t="s">
        <v>9</v>
      </c>
      <c r="Q54" t="s">
        <v>9</v>
      </c>
      <c r="R54" t="s">
        <v>9</v>
      </c>
      <c r="S54" t="s">
        <v>9</v>
      </c>
      <c r="T54" t="s">
        <v>9</v>
      </c>
      <c r="U54" t="s">
        <v>9</v>
      </c>
      <c r="V54" t="s">
        <v>9</v>
      </c>
      <c r="W54" t="s">
        <v>9</v>
      </c>
      <c r="X54" t="s">
        <v>9</v>
      </c>
      <c r="Y54" t="s">
        <v>9</v>
      </c>
      <c r="Z54" t="s">
        <v>9</v>
      </c>
      <c r="AA54" t="s">
        <v>9</v>
      </c>
      <c r="AB54" t="s">
        <v>9</v>
      </c>
      <c r="AC54" t="s">
        <v>9</v>
      </c>
      <c r="AD54" t="s">
        <v>9</v>
      </c>
      <c r="AE54" t="s">
        <v>9</v>
      </c>
      <c r="AF54" t="s">
        <v>9</v>
      </c>
      <c r="AG54" t="s">
        <v>9</v>
      </c>
      <c r="AH54" t="s">
        <v>9</v>
      </c>
      <c r="AI54" t="s">
        <v>9</v>
      </c>
      <c r="AJ54" t="s">
        <v>9</v>
      </c>
      <c r="AK54" t="s">
        <v>9</v>
      </c>
      <c r="AL54" t="s">
        <v>9</v>
      </c>
      <c r="AM54" t="s">
        <v>9</v>
      </c>
      <c r="AN54" t="s">
        <v>9</v>
      </c>
      <c r="AO54" t="s">
        <v>9</v>
      </c>
      <c r="AP54" t="s">
        <v>9</v>
      </c>
      <c r="AQ54" t="s">
        <v>9</v>
      </c>
      <c r="AR54" t="s">
        <v>9</v>
      </c>
      <c r="AS54" t="s">
        <v>9</v>
      </c>
      <c r="AT54" t="s">
        <v>9</v>
      </c>
      <c r="AU54" t="s">
        <v>9</v>
      </c>
      <c r="AV54" t="s">
        <v>9</v>
      </c>
      <c r="AW54" t="s">
        <v>9</v>
      </c>
      <c r="AX54" t="s">
        <v>9</v>
      </c>
      <c r="AY54" t="s">
        <v>9</v>
      </c>
      <c r="AZ54" t="s">
        <v>9</v>
      </c>
      <c r="BA54" t="s">
        <v>9</v>
      </c>
      <c r="BB54" t="s">
        <v>9</v>
      </c>
      <c r="BC54" t="s">
        <v>9</v>
      </c>
      <c r="BD54" t="s">
        <v>9</v>
      </c>
      <c r="BE54" t="s">
        <v>9</v>
      </c>
      <c r="BF54" t="s">
        <v>9</v>
      </c>
      <c r="BG54" t="s">
        <v>9</v>
      </c>
      <c r="BH54" t="s">
        <v>9</v>
      </c>
      <c r="BI54" t="s">
        <v>9</v>
      </c>
      <c r="BJ54" t="s">
        <v>9</v>
      </c>
      <c r="BK54" t="s">
        <v>9</v>
      </c>
      <c r="BL54" t="s">
        <v>9</v>
      </c>
      <c r="BM54" t="s">
        <v>9</v>
      </c>
      <c r="BN54" t="s">
        <v>9</v>
      </c>
      <c r="BO54" t="s">
        <v>9</v>
      </c>
      <c r="BP54" t="s">
        <v>9</v>
      </c>
      <c r="BQ54" t="s">
        <v>9</v>
      </c>
      <c r="BR54" t="s">
        <v>9</v>
      </c>
    </row>
    <row r="55" spans="1:70" hidden="1">
      <c r="A55" s="169" t="s">
        <v>231</v>
      </c>
      <c r="B55" s="169" t="s">
        <v>49</v>
      </c>
      <c r="C55" s="169">
        <v>2</v>
      </c>
      <c r="D55" s="170" t="s">
        <v>591</v>
      </c>
      <c r="E55" s="170" t="str">
        <f>IF(COUNTIF(Measure_62443_3_3[[#This Row],[G 0.13 Interception of Compromising Interference Signals]:[IND.3.2.3 Insufficient regulations for the use of OT remote maintenance access]],"P")&gt;0,"X","")</f>
        <v/>
      </c>
      <c r="F55" s="170" t="str">
        <f>IF(OR(Measure_62443_3_3[[#This Row],[Requirement Selected (Prefulfilled)]]="X",Measure_62443_3_3[[#This Row],[Relevance revoked]]="Yes"),"X","")</f>
        <v/>
      </c>
      <c r="G5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5" s="170" t="str">
        <f>IF(OR(Measure_62443_3_3[[#This Row],[Requirement Selected (Prefulfilled + Mitigating)]]="X",Measure_62443_3_3[[#This Row],[Relevance revoked]]="Yes"),"X","")</f>
        <v/>
      </c>
      <c r="I55" s="172" t="str">
        <f>IF(VLOOKUP(Measure_62443_3_3[[#This Row],[FR]],'SL-T'!$A$5:$B$11,2,FALSE)&gt;=Measure_62443_3_3[[#This Row],[lowest SL-T]],"X","")</f>
        <v/>
      </c>
      <c r="J55" s="173" t="s">
        <v>91</v>
      </c>
      <c r="K55" s="174"/>
      <c r="L55" t="s">
        <v>9</v>
      </c>
      <c r="M55" t="s">
        <v>9</v>
      </c>
      <c r="N55" t="s">
        <v>9</v>
      </c>
      <c r="O55" t="s">
        <v>9</v>
      </c>
      <c r="P55" t="s">
        <v>9</v>
      </c>
      <c r="Q55" t="s">
        <v>9</v>
      </c>
      <c r="R55" t="s">
        <v>9</v>
      </c>
      <c r="S55" t="s">
        <v>9</v>
      </c>
      <c r="T55" t="s">
        <v>9</v>
      </c>
      <c r="U55" t="s">
        <v>9</v>
      </c>
      <c r="V55" t="s">
        <v>9</v>
      </c>
      <c r="W55" t="s">
        <v>9</v>
      </c>
      <c r="X55" t="s">
        <v>9</v>
      </c>
      <c r="Y55" t="s">
        <v>9</v>
      </c>
      <c r="Z55" t="s">
        <v>9</v>
      </c>
      <c r="AA55" t="s">
        <v>9</v>
      </c>
      <c r="AB55" t="s">
        <v>9</v>
      </c>
      <c r="AC55" t="s">
        <v>9</v>
      </c>
      <c r="AD55" t="s">
        <v>9</v>
      </c>
      <c r="AE55" t="s">
        <v>9</v>
      </c>
      <c r="AF55" t="s">
        <v>9</v>
      </c>
      <c r="AG55" t="s">
        <v>9</v>
      </c>
      <c r="AH55" t="s">
        <v>9</v>
      </c>
      <c r="AI55" t="s">
        <v>9</v>
      </c>
      <c r="AJ55" t="s">
        <v>9</v>
      </c>
      <c r="AK55" t="s">
        <v>9</v>
      </c>
      <c r="AL55" t="s">
        <v>9</v>
      </c>
      <c r="AM55" t="s">
        <v>9</v>
      </c>
      <c r="AN55" t="s">
        <v>9</v>
      </c>
      <c r="AO55" t="s">
        <v>9</v>
      </c>
      <c r="AP55" t="s">
        <v>9</v>
      </c>
      <c r="AQ55" t="s">
        <v>9</v>
      </c>
      <c r="AR55" t="s">
        <v>9</v>
      </c>
      <c r="AS55" t="s">
        <v>9</v>
      </c>
      <c r="AT55" t="s">
        <v>9</v>
      </c>
      <c r="AU55" t="s">
        <v>9</v>
      </c>
      <c r="AV55" t="s">
        <v>9</v>
      </c>
      <c r="AW55" t="s">
        <v>9</v>
      </c>
      <c r="AX55" t="s">
        <v>9</v>
      </c>
      <c r="AY55" t="s">
        <v>9</v>
      </c>
      <c r="AZ55" t="s">
        <v>9</v>
      </c>
      <c r="BA55" t="s">
        <v>9</v>
      </c>
      <c r="BB55" t="s">
        <v>9</v>
      </c>
      <c r="BC55" t="s">
        <v>9</v>
      </c>
      <c r="BD55" t="s">
        <v>9</v>
      </c>
      <c r="BE55" t="s">
        <v>9</v>
      </c>
    </row>
    <row r="56" spans="1:70" hidden="1">
      <c r="A56" s="169" t="s">
        <v>232</v>
      </c>
      <c r="B56" s="169" t="s">
        <v>49</v>
      </c>
      <c r="C56" s="169">
        <v>3</v>
      </c>
      <c r="D56" s="170" t="s">
        <v>591</v>
      </c>
      <c r="E56" s="170" t="str">
        <f>IF(COUNTIF(Measure_62443_3_3[[#This Row],[G 0.13 Interception of Compromising Interference Signals]:[IND.3.2.3 Insufficient regulations for the use of OT remote maintenance access]],"P")&gt;0,"X","")</f>
        <v/>
      </c>
      <c r="F56" s="170" t="str">
        <f>IF(OR(Measure_62443_3_3[[#This Row],[Requirement Selected (Prefulfilled)]]="X",Measure_62443_3_3[[#This Row],[Relevance revoked]]="Yes"),"X","")</f>
        <v/>
      </c>
      <c r="G5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6" s="170" t="str">
        <f>IF(OR(Measure_62443_3_3[[#This Row],[Requirement Selected (Prefulfilled + Mitigating)]]="X",Measure_62443_3_3[[#This Row],[Relevance revoked]]="Yes"),"X","")</f>
        <v/>
      </c>
      <c r="I56" s="172" t="str">
        <f>IF(VLOOKUP(Measure_62443_3_3[[#This Row],[FR]],'SL-T'!$A$5:$B$11,2,FALSE)&gt;=Measure_62443_3_3[[#This Row],[lowest SL-T]],"X","")</f>
        <v/>
      </c>
      <c r="J56" s="173" t="s">
        <v>91</v>
      </c>
      <c r="K56" s="174"/>
      <c r="L56" t="s">
        <v>9</v>
      </c>
      <c r="M56" t="s">
        <v>9</v>
      </c>
      <c r="N56" t="s">
        <v>9</v>
      </c>
      <c r="O56" t="s">
        <v>9</v>
      </c>
      <c r="P56" t="s">
        <v>9</v>
      </c>
      <c r="Q56" t="s">
        <v>9</v>
      </c>
      <c r="R56" t="s">
        <v>9</v>
      </c>
      <c r="S56" t="s">
        <v>9</v>
      </c>
      <c r="T56" t="s">
        <v>9</v>
      </c>
      <c r="U56" t="s">
        <v>9</v>
      </c>
      <c r="V56" t="s">
        <v>9</v>
      </c>
      <c r="W56" t="s">
        <v>9</v>
      </c>
      <c r="X56" t="s">
        <v>9</v>
      </c>
      <c r="Y56" t="s">
        <v>9</v>
      </c>
      <c r="Z56" t="s">
        <v>9</v>
      </c>
      <c r="AA56" t="s">
        <v>9</v>
      </c>
      <c r="AB56" t="s">
        <v>9</v>
      </c>
      <c r="AC56" t="s">
        <v>9</v>
      </c>
      <c r="AD56" t="s">
        <v>9</v>
      </c>
      <c r="AE56" t="s">
        <v>9</v>
      </c>
      <c r="AF56" t="s">
        <v>9</v>
      </c>
      <c r="AG56" t="s">
        <v>9</v>
      </c>
      <c r="AH56" t="s">
        <v>9</v>
      </c>
      <c r="AI56" t="s">
        <v>9</v>
      </c>
      <c r="AJ56" t="s">
        <v>9</v>
      </c>
      <c r="AK56" t="s">
        <v>9</v>
      </c>
      <c r="AL56" t="s">
        <v>9</v>
      </c>
      <c r="AM56" t="s">
        <v>9</v>
      </c>
      <c r="AN56" t="s">
        <v>9</v>
      </c>
      <c r="AO56" t="s">
        <v>9</v>
      </c>
      <c r="AP56" t="s">
        <v>9</v>
      </c>
      <c r="AQ56" t="s">
        <v>9</v>
      </c>
      <c r="AR56" t="s">
        <v>9</v>
      </c>
      <c r="AS56" t="s">
        <v>9</v>
      </c>
      <c r="AT56" t="s">
        <v>9</v>
      </c>
      <c r="AU56" t="s">
        <v>9</v>
      </c>
      <c r="AV56" t="s">
        <v>9</v>
      </c>
      <c r="AW56" t="s">
        <v>9</v>
      </c>
      <c r="AX56" t="s">
        <v>9</v>
      </c>
      <c r="AY56" t="s">
        <v>9</v>
      </c>
      <c r="AZ56" t="s">
        <v>9</v>
      </c>
      <c r="BA56" t="s">
        <v>9</v>
      </c>
      <c r="BB56" t="s">
        <v>9</v>
      </c>
      <c r="BC56" t="s">
        <v>9</v>
      </c>
      <c r="BD56" t="s">
        <v>9</v>
      </c>
      <c r="BE56" t="s">
        <v>9</v>
      </c>
    </row>
    <row r="57" spans="1:70" hidden="1">
      <c r="A57" s="169" t="s">
        <v>233</v>
      </c>
      <c r="B57" s="169" t="s">
        <v>49</v>
      </c>
      <c r="C57" s="169">
        <v>1</v>
      </c>
      <c r="D57" s="170" t="s">
        <v>591</v>
      </c>
      <c r="E57" s="170" t="str">
        <f>IF(COUNTIF(Measure_62443_3_3[[#This Row],[G 0.13 Interception of Compromising Interference Signals]:[IND.3.2.3 Insufficient regulations for the use of OT remote maintenance access]],"P")&gt;0,"X","")</f>
        <v/>
      </c>
      <c r="F57" s="170" t="str">
        <f>IF(OR(Measure_62443_3_3[[#This Row],[Requirement Selected (Prefulfilled)]]="X",Measure_62443_3_3[[#This Row],[Relevance revoked]]="Yes"),"X","")</f>
        <v/>
      </c>
      <c r="G5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7" s="170" t="str">
        <f>IF(OR(Measure_62443_3_3[[#This Row],[Requirement Selected (Prefulfilled + Mitigating)]]="X",Measure_62443_3_3[[#This Row],[Relevance revoked]]="Yes"),"X","")</f>
        <v/>
      </c>
      <c r="I57" s="172" t="str">
        <f>IF(VLOOKUP(Measure_62443_3_3[[#This Row],[FR]],'SL-T'!$A$5:$B$11,2,FALSE)&gt;=Measure_62443_3_3[[#This Row],[lowest SL-T]],"X","")</f>
        <v/>
      </c>
      <c r="J57" s="173" t="s">
        <v>91</v>
      </c>
      <c r="K57" s="174"/>
      <c r="L57" t="s">
        <v>9</v>
      </c>
      <c r="M57" t="s">
        <v>9</v>
      </c>
      <c r="N57" t="s">
        <v>9</v>
      </c>
      <c r="O57" t="s">
        <v>9</v>
      </c>
      <c r="P57" t="s">
        <v>9</v>
      </c>
      <c r="Q57" t="s">
        <v>9</v>
      </c>
      <c r="R57" t="s">
        <v>9</v>
      </c>
      <c r="S57" t="s">
        <v>9</v>
      </c>
      <c r="T57" t="s">
        <v>9</v>
      </c>
      <c r="U57" t="s">
        <v>9</v>
      </c>
      <c r="V57" t="s">
        <v>9</v>
      </c>
      <c r="W57" t="s">
        <v>9</v>
      </c>
      <c r="X57" t="s">
        <v>9</v>
      </c>
      <c r="Y57" t="s">
        <v>9</v>
      </c>
      <c r="Z57" t="s">
        <v>9</v>
      </c>
      <c r="AA57" t="s">
        <v>9</v>
      </c>
      <c r="AB57" t="s">
        <v>9</v>
      </c>
      <c r="AC57" t="s">
        <v>9</v>
      </c>
      <c r="AD57" t="s">
        <v>9</v>
      </c>
      <c r="AE57" t="s">
        <v>9</v>
      </c>
      <c r="AF57" t="s">
        <v>9</v>
      </c>
      <c r="AG57" t="s">
        <v>9</v>
      </c>
      <c r="AH57" t="s">
        <v>9</v>
      </c>
      <c r="AI57" t="s">
        <v>9</v>
      </c>
      <c r="AJ57" t="s">
        <v>9</v>
      </c>
      <c r="AK57" t="s">
        <v>9</v>
      </c>
      <c r="AL57" t="s">
        <v>9</v>
      </c>
      <c r="AM57" t="s">
        <v>9</v>
      </c>
      <c r="AN57" t="s">
        <v>9</v>
      </c>
      <c r="AO57" t="s">
        <v>9</v>
      </c>
      <c r="AP57" t="s">
        <v>9</v>
      </c>
      <c r="AQ57" t="s">
        <v>9</v>
      </c>
      <c r="AR57" t="s">
        <v>9</v>
      </c>
      <c r="AS57" t="s">
        <v>9</v>
      </c>
      <c r="AT57" t="s">
        <v>9</v>
      </c>
      <c r="AU57" t="s">
        <v>9</v>
      </c>
      <c r="AV57" t="s">
        <v>9</v>
      </c>
      <c r="AW57" t="s">
        <v>9</v>
      </c>
      <c r="AX57" t="s">
        <v>9</v>
      </c>
      <c r="AY57" t="s">
        <v>9</v>
      </c>
      <c r="AZ57" t="s">
        <v>9</v>
      </c>
      <c r="BA57" t="s">
        <v>9</v>
      </c>
      <c r="BB57" t="s">
        <v>9</v>
      </c>
      <c r="BC57" t="s">
        <v>9</v>
      </c>
      <c r="BD57" t="s">
        <v>9</v>
      </c>
      <c r="BE57" t="s">
        <v>9</v>
      </c>
      <c r="BF57" t="s">
        <v>9</v>
      </c>
      <c r="BG57" t="s">
        <v>9</v>
      </c>
      <c r="BH57" t="s">
        <v>9</v>
      </c>
      <c r="BI57" t="s">
        <v>9</v>
      </c>
      <c r="BJ57" t="s">
        <v>9</v>
      </c>
      <c r="BK57" t="s">
        <v>9</v>
      </c>
      <c r="BL57" t="s">
        <v>9</v>
      </c>
      <c r="BM57" t="s">
        <v>9</v>
      </c>
      <c r="BN57" t="s">
        <v>9</v>
      </c>
      <c r="BO57" t="s">
        <v>9</v>
      </c>
      <c r="BP57" t="s">
        <v>9</v>
      </c>
      <c r="BQ57" t="s">
        <v>9</v>
      </c>
      <c r="BR57" t="s">
        <v>9</v>
      </c>
    </row>
    <row r="58" spans="1:70" hidden="1">
      <c r="A58" s="169" t="s">
        <v>234</v>
      </c>
      <c r="B58" s="169" t="s">
        <v>49</v>
      </c>
      <c r="C58" s="169">
        <v>3</v>
      </c>
      <c r="D58" s="170" t="s">
        <v>591</v>
      </c>
      <c r="E58" s="170" t="str">
        <f>IF(COUNTIF(Measure_62443_3_3[[#This Row],[G 0.13 Interception of Compromising Interference Signals]:[IND.3.2.3 Insufficient regulations for the use of OT remote maintenance access]],"P")&gt;0,"X","")</f>
        <v/>
      </c>
      <c r="F58" s="170" t="str">
        <f>IF(OR(Measure_62443_3_3[[#This Row],[Requirement Selected (Prefulfilled)]]="X",Measure_62443_3_3[[#This Row],[Relevance revoked]]="Yes"),"X","")</f>
        <v/>
      </c>
      <c r="G5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8" s="170" t="str">
        <f>IF(OR(Measure_62443_3_3[[#This Row],[Requirement Selected (Prefulfilled + Mitigating)]]="X",Measure_62443_3_3[[#This Row],[Relevance revoked]]="Yes"),"X","")</f>
        <v/>
      </c>
      <c r="I58" s="172" t="str">
        <f>IF(VLOOKUP(Measure_62443_3_3[[#This Row],[FR]],'SL-T'!$A$5:$B$11,2,FALSE)&gt;=Measure_62443_3_3[[#This Row],[lowest SL-T]],"X","")</f>
        <v/>
      </c>
      <c r="J58" s="173" t="s">
        <v>91</v>
      </c>
      <c r="K58" s="174"/>
      <c r="L58" t="s">
        <v>9</v>
      </c>
      <c r="M58" t="s">
        <v>9</v>
      </c>
      <c r="N58" t="s">
        <v>9</v>
      </c>
      <c r="O58" t="s">
        <v>9</v>
      </c>
      <c r="P58" t="s">
        <v>9</v>
      </c>
      <c r="Q58" t="s">
        <v>9</v>
      </c>
      <c r="R58" t="s">
        <v>9</v>
      </c>
      <c r="S58" t="s">
        <v>9</v>
      </c>
      <c r="T58" t="s">
        <v>9</v>
      </c>
      <c r="U58" t="s">
        <v>9</v>
      </c>
      <c r="V58" t="s">
        <v>9</v>
      </c>
      <c r="W58" t="s">
        <v>9</v>
      </c>
      <c r="X58" t="s">
        <v>9</v>
      </c>
      <c r="Y58" t="s">
        <v>9</v>
      </c>
      <c r="Z58" t="s">
        <v>9</v>
      </c>
      <c r="AA58" t="s">
        <v>9</v>
      </c>
      <c r="AB58" t="s">
        <v>9</v>
      </c>
      <c r="AC58" t="s">
        <v>9</v>
      </c>
      <c r="AD58" t="s">
        <v>9</v>
      </c>
      <c r="AE58" t="s">
        <v>9</v>
      </c>
      <c r="AF58" t="s">
        <v>9</v>
      </c>
      <c r="AG58" t="s">
        <v>9</v>
      </c>
      <c r="AH58" t="s">
        <v>9</v>
      </c>
      <c r="AI58" t="s">
        <v>9</v>
      </c>
      <c r="AJ58" t="s">
        <v>9</v>
      </c>
      <c r="AK58" t="s">
        <v>9</v>
      </c>
      <c r="AL58" t="s">
        <v>9</v>
      </c>
      <c r="AM58" t="s">
        <v>9</v>
      </c>
      <c r="AN58" t="s">
        <v>9</v>
      </c>
      <c r="AO58" t="s">
        <v>9</v>
      </c>
      <c r="AP58" t="s">
        <v>9</v>
      </c>
      <c r="AQ58" t="s">
        <v>9</v>
      </c>
      <c r="AR58" t="s">
        <v>9</v>
      </c>
      <c r="AS58" t="s">
        <v>9</v>
      </c>
      <c r="AT58" t="s">
        <v>9</v>
      </c>
      <c r="AU58" t="s">
        <v>9</v>
      </c>
      <c r="AV58" t="s">
        <v>9</v>
      </c>
      <c r="AW58" t="s">
        <v>9</v>
      </c>
      <c r="AX58" t="s">
        <v>9</v>
      </c>
      <c r="AY58" t="s">
        <v>9</v>
      </c>
      <c r="AZ58" t="s">
        <v>9</v>
      </c>
      <c r="BA58" t="s">
        <v>9</v>
      </c>
      <c r="BB58" t="s">
        <v>9</v>
      </c>
      <c r="BC58" t="s">
        <v>9</v>
      </c>
      <c r="BD58" t="s">
        <v>9</v>
      </c>
      <c r="BE58" t="s">
        <v>9</v>
      </c>
    </row>
    <row r="59" spans="1:70" hidden="1">
      <c r="A59" s="169" t="s">
        <v>235</v>
      </c>
      <c r="B59" s="169" t="s">
        <v>49</v>
      </c>
      <c r="C59" s="169">
        <v>4</v>
      </c>
      <c r="D59" s="170" t="s">
        <v>591</v>
      </c>
      <c r="E59" s="170" t="str">
        <f>IF(COUNTIF(Measure_62443_3_3[[#This Row],[G 0.13 Interception of Compromising Interference Signals]:[IND.3.2.3 Insufficient regulations for the use of OT remote maintenance access]],"P")&gt;0,"X","")</f>
        <v/>
      </c>
      <c r="F59" s="170" t="str">
        <f>IF(OR(Measure_62443_3_3[[#This Row],[Requirement Selected (Prefulfilled)]]="X",Measure_62443_3_3[[#This Row],[Relevance revoked]]="Yes"),"X","")</f>
        <v/>
      </c>
      <c r="G5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59" s="170" t="str">
        <f>IF(OR(Measure_62443_3_3[[#This Row],[Requirement Selected (Prefulfilled + Mitigating)]]="X",Measure_62443_3_3[[#This Row],[Relevance revoked]]="Yes"),"X","")</f>
        <v/>
      </c>
      <c r="I59" s="172" t="str">
        <f>IF(VLOOKUP(Measure_62443_3_3[[#This Row],[FR]],'SL-T'!$A$5:$B$11,2,FALSE)&gt;=Measure_62443_3_3[[#This Row],[lowest SL-T]],"X","")</f>
        <v/>
      </c>
      <c r="J59" s="173" t="s">
        <v>91</v>
      </c>
      <c r="K59" s="174"/>
      <c r="L59" t="s">
        <v>9</v>
      </c>
      <c r="M59" t="s">
        <v>9</v>
      </c>
      <c r="N59" t="s">
        <v>9</v>
      </c>
      <c r="O59" t="s">
        <v>9</v>
      </c>
      <c r="P59" t="s">
        <v>9</v>
      </c>
      <c r="Q59" t="s">
        <v>9</v>
      </c>
      <c r="R59" t="s">
        <v>9</v>
      </c>
      <c r="S59" t="s">
        <v>9</v>
      </c>
      <c r="T59" t="s">
        <v>9</v>
      </c>
      <c r="U59" t="s">
        <v>9</v>
      </c>
      <c r="V59" t="s">
        <v>9</v>
      </c>
      <c r="W59" t="s">
        <v>9</v>
      </c>
      <c r="X59" t="s">
        <v>9</v>
      </c>
      <c r="Y59" t="s">
        <v>9</v>
      </c>
      <c r="Z59" t="s">
        <v>9</v>
      </c>
      <c r="AA59" t="s">
        <v>9</v>
      </c>
      <c r="AB59" t="s">
        <v>9</v>
      </c>
      <c r="AC59" t="s">
        <v>9</v>
      </c>
      <c r="AD59" t="s">
        <v>9</v>
      </c>
      <c r="AE59" t="s">
        <v>9</v>
      </c>
      <c r="AF59" t="s">
        <v>9</v>
      </c>
      <c r="AG59" t="s">
        <v>9</v>
      </c>
      <c r="AH59" t="s">
        <v>9</v>
      </c>
      <c r="AI59" t="s">
        <v>9</v>
      </c>
      <c r="AJ59" t="s">
        <v>9</v>
      </c>
      <c r="AK59" t="s">
        <v>9</v>
      </c>
      <c r="AL59" t="s">
        <v>9</v>
      </c>
      <c r="AM59" t="s">
        <v>9</v>
      </c>
      <c r="AN59" t="s">
        <v>9</v>
      </c>
      <c r="AO59" t="s">
        <v>9</v>
      </c>
      <c r="AP59" t="s">
        <v>9</v>
      </c>
      <c r="AQ59" t="s">
        <v>9</v>
      </c>
      <c r="AR59" t="s">
        <v>9</v>
      </c>
      <c r="AS59" t="s">
        <v>9</v>
      </c>
      <c r="AT59" t="s">
        <v>9</v>
      </c>
      <c r="AU59" t="s">
        <v>9</v>
      </c>
      <c r="AV59" t="s">
        <v>9</v>
      </c>
      <c r="AW59" t="s">
        <v>9</v>
      </c>
      <c r="AX59" t="s">
        <v>9</v>
      </c>
      <c r="AY59" t="s">
        <v>9</v>
      </c>
      <c r="AZ59" t="s">
        <v>9</v>
      </c>
      <c r="BA59" t="s">
        <v>9</v>
      </c>
      <c r="BB59" t="s">
        <v>9</v>
      </c>
      <c r="BC59" t="s">
        <v>9</v>
      </c>
      <c r="BD59" t="s">
        <v>9</v>
      </c>
      <c r="BE59" t="s">
        <v>9</v>
      </c>
    </row>
    <row r="60" spans="1:70" hidden="1">
      <c r="A60" s="169" t="s">
        <v>236</v>
      </c>
      <c r="B60" s="169" t="s">
        <v>49</v>
      </c>
      <c r="C60" s="169">
        <v>2</v>
      </c>
      <c r="D60" s="170" t="s">
        <v>591</v>
      </c>
      <c r="E60" s="170" t="str">
        <f>IF(COUNTIF(Measure_62443_3_3[[#This Row],[G 0.13 Interception of Compromising Interference Signals]:[IND.3.2.3 Insufficient regulations for the use of OT remote maintenance access]],"P")&gt;0,"X","")</f>
        <v/>
      </c>
      <c r="F60" s="170" t="str">
        <f>IF(OR(Measure_62443_3_3[[#This Row],[Requirement Selected (Prefulfilled)]]="X",Measure_62443_3_3[[#This Row],[Relevance revoked]]="Yes"),"X","")</f>
        <v/>
      </c>
      <c r="G6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0" s="170" t="str">
        <f>IF(OR(Measure_62443_3_3[[#This Row],[Requirement Selected (Prefulfilled + Mitigating)]]="X",Measure_62443_3_3[[#This Row],[Relevance revoked]]="Yes"),"X","")</f>
        <v/>
      </c>
      <c r="I60" s="172" t="str">
        <f>IF(VLOOKUP(Measure_62443_3_3[[#This Row],[FR]],'SL-T'!$A$5:$B$11,2,FALSE)&gt;=Measure_62443_3_3[[#This Row],[lowest SL-T]],"X","")</f>
        <v/>
      </c>
      <c r="J60" s="173" t="s">
        <v>91</v>
      </c>
      <c r="K60" s="174"/>
      <c r="L60" t="s">
        <v>9</v>
      </c>
      <c r="M60" t="s">
        <v>9</v>
      </c>
      <c r="N60" t="s">
        <v>9</v>
      </c>
      <c r="O60" t="s">
        <v>9</v>
      </c>
      <c r="P60" t="s">
        <v>9</v>
      </c>
      <c r="Q60" t="s">
        <v>9</v>
      </c>
      <c r="R60" t="s">
        <v>9</v>
      </c>
      <c r="S60" t="s">
        <v>9</v>
      </c>
      <c r="T60" t="s">
        <v>9</v>
      </c>
      <c r="U60" t="s">
        <v>9</v>
      </c>
      <c r="V60" t="s">
        <v>9</v>
      </c>
      <c r="W60" t="s">
        <v>9</v>
      </c>
      <c r="X60" t="s">
        <v>9</v>
      </c>
      <c r="Y60" t="s">
        <v>9</v>
      </c>
      <c r="Z60" t="s">
        <v>9</v>
      </c>
      <c r="AA60" t="s">
        <v>9</v>
      </c>
      <c r="AB60" t="s">
        <v>9</v>
      </c>
      <c r="AC60" t="s">
        <v>9</v>
      </c>
      <c r="AD60" t="s">
        <v>9</v>
      </c>
      <c r="AE60" t="s">
        <v>9</v>
      </c>
      <c r="AF60" t="s">
        <v>9</v>
      </c>
      <c r="AG60" t="s">
        <v>9</v>
      </c>
      <c r="AH60" t="s">
        <v>9</v>
      </c>
      <c r="AI60" t="s">
        <v>9</v>
      </c>
      <c r="AJ60" t="s">
        <v>9</v>
      </c>
      <c r="AK60" t="s">
        <v>9</v>
      </c>
      <c r="AL60" t="s">
        <v>9</v>
      </c>
      <c r="AM60" t="s">
        <v>9</v>
      </c>
      <c r="AN60" t="s">
        <v>9</v>
      </c>
      <c r="AO60" t="s">
        <v>9</v>
      </c>
      <c r="AP60" t="s">
        <v>9</v>
      </c>
      <c r="AQ60" t="s">
        <v>9</v>
      </c>
      <c r="AR60" t="s">
        <v>9</v>
      </c>
      <c r="AS60" t="s">
        <v>9</v>
      </c>
      <c r="AT60" t="s">
        <v>9</v>
      </c>
      <c r="AU60" t="s">
        <v>9</v>
      </c>
      <c r="AV60" t="s">
        <v>9</v>
      </c>
      <c r="AW60" t="s">
        <v>9</v>
      </c>
      <c r="AX60" t="s">
        <v>9</v>
      </c>
      <c r="AY60" t="s">
        <v>9</v>
      </c>
      <c r="AZ60" t="s">
        <v>9</v>
      </c>
      <c r="BA60" t="s">
        <v>9</v>
      </c>
      <c r="BB60" t="s">
        <v>9</v>
      </c>
      <c r="BC60" t="s">
        <v>9</v>
      </c>
      <c r="BD60" t="s">
        <v>9</v>
      </c>
      <c r="BE60" t="s">
        <v>9</v>
      </c>
    </row>
    <row r="61" spans="1:70" hidden="1">
      <c r="A61" s="169" t="s">
        <v>237</v>
      </c>
      <c r="B61" s="169" t="s">
        <v>49</v>
      </c>
      <c r="C61" s="169">
        <v>3</v>
      </c>
      <c r="D61" s="170" t="s">
        <v>591</v>
      </c>
      <c r="E61" s="170" t="str">
        <f>IF(COUNTIF(Measure_62443_3_3[[#This Row],[G 0.13 Interception of Compromising Interference Signals]:[IND.3.2.3 Insufficient regulations for the use of OT remote maintenance access]],"P")&gt;0,"X","")</f>
        <v/>
      </c>
      <c r="F61" s="170" t="str">
        <f>IF(OR(Measure_62443_3_3[[#This Row],[Requirement Selected (Prefulfilled)]]="X",Measure_62443_3_3[[#This Row],[Relevance revoked]]="Yes"),"X","")</f>
        <v/>
      </c>
      <c r="G6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1" s="170" t="str">
        <f>IF(OR(Measure_62443_3_3[[#This Row],[Requirement Selected (Prefulfilled + Mitigating)]]="X",Measure_62443_3_3[[#This Row],[Relevance revoked]]="Yes"),"X","")</f>
        <v/>
      </c>
      <c r="I61" s="172" t="str">
        <f>IF(VLOOKUP(Measure_62443_3_3[[#This Row],[FR]],'SL-T'!$A$5:$B$11,2,FALSE)&gt;=Measure_62443_3_3[[#This Row],[lowest SL-T]],"X","")</f>
        <v/>
      </c>
      <c r="J61" s="173" t="s">
        <v>91</v>
      </c>
      <c r="K61" s="174"/>
      <c r="L61" t="s">
        <v>9</v>
      </c>
      <c r="M61" t="s">
        <v>9</v>
      </c>
      <c r="N61" t="s">
        <v>9</v>
      </c>
      <c r="O61" t="s">
        <v>9</v>
      </c>
      <c r="P61" t="s">
        <v>9</v>
      </c>
      <c r="Q61" t="s">
        <v>9</v>
      </c>
      <c r="R61" t="s">
        <v>9</v>
      </c>
      <c r="S61" t="s">
        <v>9</v>
      </c>
      <c r="T61" t="s">
        <v>9</v>
      </c>
      <c r="U61" t="s">
        <v>9</v>
      </c>
      <c r="V61" t="s">
        <v>9</v>
      </c>
      <c r="W61" t="s">
        <v>9</v>
      </c>
      <c r="X61" t="s">
        <v>9</v>
      </c>
      <c r="Y61" t="s">
        <v>9</v>
      </c>
      <c r="Z61" t="s">
        <v>9</v>
      </c>
      <c r="AA61" t="s">
        <v>9</v>
      </c>
      <c r="AB61" t="s">
        <v>9</v>
      </c>
      <c r="AC61" t="s">
        <v>9</v>
      </c>
      <c r="AD61" t="s">
        <v>9</v>
      </c>
      <c r="AE61" t="s">
        <v>9</v>
      </c>
      <c r="AF61" t="s">
        <v>9</v>
      </c>
      <c r="AG61" t="s">
        <v>9</v>
      </c>
      <c r="AH61" t="s">
        <v>9</v>
      </c>
      <c r="AI61" t="s">
        <v>9</v>
      </c>
      <c r="AJ61" t="s">
        <v>9</v>
      </c>
      <c r="AK61" t="s">
        <v>9</v>
      </c>
      <c r="AL61" t="s">
        <v>9</v>
      </c>
      <c r="AM61" t="s">
        <v>9</v>
      </c>
      <c r="AN61" t="s">
        <v>9</v>
      </c>
      <c r="AO61" t="s">
        <v>9</v>
      </c>
      <c r="AP61" t="s">
        <v>9</v>
      </c>
      <c r="AQ61" t="s">
        <v>9</v>
      </c>
      <c r="AR61" t="s">
        <v>9</v>
      </c>
      <c r="AS61" t="s">
        <v>9</v>
      </c>
      <c r="AT61" t="s">
        <v>9</v>
      </c>
      <c r="AU61" t="s">
        <v>9</v>
      </c>
      <c r="AV61" t="s">
        <v>9</v>
      </c>
      <c r="AW61" t="s">
        <v>9</v>
      </c>
      <c r="AX61" t="s">
        <v>9</v>
      </c>
      <c r="AY61" t="s">
        <v>9</v>
      </c>
      <c r="AZ61" t="s">
        <v>9</v>
      </c>
      <c r="BA61" t="s">
        <v>9</v>
      </c>
      <c r="BB61" t="s">
        <v>9</v>
      </c>
      <c r="BC61" t="s">
        <v>9</v>
      </c>
      <c r="BD61" t="s">
        <v>9</v>
      </c>
      <c r="BE61" t="s">
        <v>9</v>
      </c>
    </row>
    <row r="62" spans="1:70" hidden="1">
      <c r="A62" s="169" t="s">
        <v>238</v>
      </c>
      <c r="B62" s="169" t="s">
        <v>49</v>
      </c>
      <c r="C62" s="169">
        <v>1</v>
      </c>
      <c r="D62" s="170" t="s">
        <v>591</v>
      </c>
      <c r="E62" s="170" t="str">
        <f>IF(COUNTIF(Measure_62443_3_3[[#This Row],[G 0.13 Interception of Compromising Interference Signals]:[IND.3.2.3 Insufficient regulations for the use of OT remote maintenance access]],"P")&gt;0,"X","")</f>
        <v/>
      </c>
      <c r="F62" s="170" t="str">
        <f>IF(OR(Measure_62443_3_3[[#This Row],[Requirement Selected (Prefulfilled)]]="X",Measure_62443_3_3[[#This Row],[Relevance revoked]]="Yes"),"X","")</f>
        <v/>
      </c>
      <c r="G6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2" s="170" t="str">
        <f>IF(OR(Measure_62443_3_3[[#This Row],[Requirement Selected (Prefulfilled + Mitigating)]]="X",Measure_62443_3_3[[#This Row],[Relevance revoked]]="Yes"),"X","")</f>
        <v/>
      </c>
      <c r="I62" s="172" t="str">
        <f>IF(VLOOKUP(Measure_62443_3_3[[#This Row],[FR]],'SL-T'!$A$5:$B$11,2,FALSE)&gt;=Measure_62443_3_3[[#This Row],[lowest SL-T]],"X","")</f>
        <v/>
      </c>
      <c r="J62" s="173" t="s">
        <v>91</v>
      </c>
      <c r="K62" s="174"/>
      <c r="L62" t="s">
        <v>9</v>
      </c>
      <c r="M62" t="s">
        <v>9</v>
      </c>
      <c r="N62" t="s">
        <v>9</v>
      </c>
      <c r="O62" t="s">
        <v>9</v>
      </c>
      <c r="P62" t="s">
        <v>9</v>
      </c>
      <c r="Q62" t="s">
        <v>9</v>
      </c>
      <c r="R62" t="s">
        <v>9</v>
      </c>
      <c r="S62" t="s">
        <v>9</v>
      </c>
      <c r="T62" t="s">
        <v>9</v>
      </c>
      <c r="U62" t="s">
        <v>9</v>
      </c>
      <c r="V62" t="s">
        <v>9</v>
      </c>
      <c r="W62" t="s">
        <v>9</v>
      </c>
      <c r="X62" t="s">
        <v>9</v>
      </c>
      <c r="Y62" t="s">
        <v>9</v>
      </c>
      <c r="Z62" t="s">
        <v>9</v>
      </c>
      <c r="AA62" t="s">
        <v>9</v>
      </c>
      <c r="AB62" t="s">
        <v>9</v>
      </c>
      <c r="AC62" t="s">
        <v>9</v>
      </c>
      <c r="AD62" t="s">
        <v>9</v>
      </c>
      <c r="AE62" t="s">
        <v>9</v>
      </c>
      <c r="AF62" t="s">
        <v>9</v>
      </c>
      <c r="AG62" t="s">
        <v>9</v>
      </c>
      <c r="AH62" t="s">
        <v>9</v>
      </c>
      <c r="AI62" t="s">
        <v>9</v>
      </c>
      <c r="AJ62" t="s">
        <v>9</v>
      </c>
      <c r="AK62" t="s">
        <v>9</v>
      </c>
      <c r="AL62" t="s">
        <v>9</v>
      </c>
      <c r="AM62" t="s">
        <v>9</v>
      </c>
      <c r="AN62" t="s">
        <v>9</v>
      </c>
      <c r="AO62" t="s">
        <v>9</v>
      </c>
      <c r="AP62" t="s">
        <v>9</v>
      </c>
      <c r="AQ62" t="s">
        <v>9</v>
      </c>
      <c r="AR62" t="s">
        <v>9</v>
      </c>
      <c r="AS62" t="s">
        <v>9</v>
      </c>
      <c r="AT62" t="s">
        <v>9</v>
      </c>
      <c r="AU62" t="s">
        <v>9</v>
      </c>
      <c r="AV62" t="s">
        <v>9</v>
      </c>
      <c r="AW62" t="s">
        <v>9</v>
      </c>
      <c r="AX62" t="s">
        <v>9</v>
      </c>
      <c r="AY62" t="s">
        <v>9</v>
      </c>
      <c r="AZ62" t="s">
        <v>9</v>
      </c>
      <c r="BA62" t="s">
        <v>9</v>
      </c>
      <c r="BB62" t="s">
        <v>9</v>
      </c>
      <c r="BC62" t="s">
        <v>9</v>
      </c>
      <c r="BD62" t="s">
        <v>9</v>
      </c>
      <c r="BE62" t="s">
        <v>9</v>
      </c>
      <c r="BF62" t="s">
        <v>9</v>
      </c>
      <c r="BG62" t="s">
        <v>9</v>
      </c>
      <c r="BH62" t="s">
        <v>9</v>
      </c>
      <c r="BI62" t="s">
        <v>9</v>
      </c>
      <c r="BJ62" t="s">
        <v>9</v>
      </c>
      <c r="BK62" t="s">
        <v>9</v>
      </c>
      <c r="BL62" t="s">
        <v>9</v>
      </c>
      <c r="BM62" t="s">
        <v>9</v>
      </c>
      <c r="BN62" t="s">
        <v>9</v>
      </c>
      <c r="BO62" t="s">
        <v>9</v>
      </c>
      <c r="BP62" t="s">
        <v>9</v>
      </c>
      <c r="BQ62" t="s">
        <v>9</v>
      </c>
      <c r="BR62" t="s">
        <v>9</v>
      </c>
    </row>
    <row r="63" spans="1:70" hidden="1">
      <c r="A63" s="169" t="s">
        <v>239</v>
      </c>
      <c r="B63" s="169" t="s">
        <v>49</v>
      </c>
      <c r="C63" s="169">
        <v>1</v>
      </c>
      <c r="D63" s="170" t="s">
        <v>591</v>
      </c>
      <c r="E63" s="170" t="str">
        <f>IF(COUNTIF(Measure_62443_3_3[[#This Row],[G 0.13 Interception of Compromising Interference Signals]:[IND.3.2.3 Insufficient regulations for the use of OT remote maintenance access]],"P")&gt;0,"X","")</f>
        <v/>
      </c>
      <c r="F63" s="170" t="str">
        <f>IF(OR(Measure_62443_3_3[[#This Row],[Requirement Selected (Prefulfilled)]]="X",Measure_62443_3_3[[#This Row],[Relevance revoked]]="Yes"),"X","")</f>
        <v/>
      </c>
      <c r="G6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3" s="170" t="str">
        <f>IF(OR(Measure_62443_3_3[[#This Row],[Requirement Selected (Prefulfilled + Mitigating)]]="X",Measure_62443_3_3[[#This Row],[Relevance revoked]]="Yes"),"X","")</f>
        <v/>
      </c>
      <c r="I63" s="172" t="str">
        <f>IF(VLOOKUP(Measure_62443_3_3[[#This Row],[FR]],'SL-T'!$A$5:$B$11,2,FALSE)&gt;=Measure_62443_3_3[[#This Row],[lowest SL-T]],"X","")</f>
        <v/>
      </c>
      <c r="J63" s="173" t="s">
        <v>91</v>
      </c>
      <c r="K63" s="174"/>
      <c r="L63" t="s">
        <v>9</v>
      </c>
      <c r="M63" t="s">
        <v>9</v>
      </c>
      <c r="N63" t="s">
        <v>9</v>
      </c>
      <c r="O63" t="s">
        <v>9</v>
      </c>
      <c r="P63" t="s">
        <v>9</v>
      </c>
      <c r="Q63" t="s">
        <v>9</v>
      </c>
      <c r="R63" t="s">
        <v>9</v>
      </c>
      <c r="S63" t="s">
        <v>9</v>
      </c>
      <c r="T63" t="s">
        <v>9</v>
      </c>
      <c r="U63" t="s">
        <v>9</v>
      </c>
      <c r="V63" t="s">
        <v>9</v>
      </c>
      <c r="W63" t="s">
        <v>9</v>
      </c>
      <c r="X63" t="s">
        <v>9</v>
      </c>
      <c r="Y63" t="s">
        <v>9</v>
      </c>
      <c r="Z63" t="s">
        <v>9</v>
      </c>
      <c r="AA63" t="s">
        <v>9</v>
      </c>
      <c r="AB63" t="s">
        <v>9</v>
      </c>
      <c r="AC63" t="s">
        <v>9</v>
      </c>
      <c r="AD63" t="s">
        <v>9</v>
      </c>
      <c r="AE63" t="s">
        <v>9</v>
      </c>
      <c r="AF63" t="s">
        <v>9</v>
      </c>
      <c r="AG63" t="s">
        <v>9</v>
      </c>
      <c r="AH63" t="s">
        <v>9</v>
      </c>
      <c r="AI63" t="s">
        <v>9</v>
      </c>
      <c r="AJ63" t="s">
        <v>9</v>
      </c>
      <c r="AK63" t="s">
        <v>9</v>
      </c>
      <c r="AL63" t="s">
        <v>9</v>
      </c>
      <c r="AM63" t="s">
        <v>9</v>
      </c>
      <c r="AN63" t="s">
        <v>9</v>
      </c>
      <c r="AO63" t="s">
        <v>9</v>
      </c>
      <c r="AP63" t="s">
        <v>9</v>
      </c>
      <c r="AQ63" t="s">
        <v>9</v>
      </c>
      <c r="AR63" t="s">
        <v>9</v>
      </c>
      <c r="AS63" t="s">
        <v>9</v>
      </c>
      <c r="AT63" t="s">
        <v>9</v>
      </c>
      <c r="AU63" t="s">
        <v>9</v>
      </c>
      <c r="AV63" t="s">
        <v>9</v>
      </c>
      <c r="AW63" t="s">
        <v>9</v>
      </c>
      <c r="AX63" t="s">
        <v>9</v>
      </c>
      <c r="AY63" t="s">
        <v>9</v>
      </c>
      <c r="AZ63" t="s">
        <v>9</v>
      </c>
      <c r="BA63" t="s">
        <v>9</v>
      </c>
      <c r="BB63" t="s">
        <v>9</v>
      </c>
      <c r="BC63" t="s">
        <v>9</v>
      </c>
      <c r="BD63" t="s">
        <v>9</v>
      </c>
      <c r="BE63" t="s">
        <v>9</v>
      </c>
      <c r="BF63" t="s">
        <v>9</v>
      </c>
      <c r="BG63" t="s">
        <v>9</v>
      </c>
      <c r="BH63" t="s">
        <v>9</v>
      </c>
      <c r="BI63" t="s">
        <v>9</v>
      </c>
      <c r="BJ63" t="s">
        <v>9</v>
      </c>
      <c r="BK63" t="s">
        <v>9</v>
      </c>
      <c r="BL63" t="s">
        <v>9</v>
      </c>
      <c r="BM63" t="s">
        <v>9</v>
      </c>
      <c r="BN63" t="s">
        <v>9</v>
      </c>
      <c r="BO63" t="s">
        <v>9</v>
      </c>
      <c r="BP63" t="s">
        <v>9</v>
      </c>
      <c r="BQ63" t="s">
        <v>9</v>
      </c>
      <c r="BR63" t="s">
        <v>9</v>
      </c>
    </row>
    <row r="64" spans="1:70" hidden="1">
      <c r="A64" s="169" t="s">
        <v>240</v>
      </c>
      <c r="B64" s="169" t="s">
        <v>49</v>
      </c>
      <c r="C64" s="169">
        <v>2</v>
      </c>
      <c r="D64" s="170" t="s">
        <v>591</v>
      </c>
      <c r="E64" s="170" t="str">
        <f>IF(COUNTIF(Measure_62443_3_3[[#This Row],[G 0.13 Interception of Compromising Interference Signals]:[IND.3.2.3 Insufficient regulations for the use of OT remote maintenance access]],"P")&gt;0,"X","")</f>
        <v/>
      </c>
      <c r="F64" s="170" t="str">
        <f>IF(OR(Measure_62443_3_3[[#This Row],[Requirement Selected (Prefulfilled)]]="X",Measure_62443_3_3[[#This Row],[Relevance revoked]]="Yes"),"X","")</f>
        <v/>
      </c>
      <c r="G6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4" s="170" t="str">
        <f>IF(OR(Measure_62443_3_3[[#This Row],[Requirement Selected (Prefulfilled + Mitigating)]]="X",Measure_62443_3_3[[#This Row],[Relevance revoked]]="Yes"),"X","")</f>
        <v/>
      </c>
      <c r="I64" s="172" t="str">
        <f>IF(VLOOKUP(Measure_62443_3_3[[#This Row],[FR]],'SL-T'!$A$5:$B$11,2,FALSE)&gt;=Measure_62443_3_3[[#This Row],[lowest SL-T]],"X","")</f>
        <v/>
      </c>
      <c r="J64" s="173" t="s">
        <v>91</v>
      </c>
      <c r="K64" s="174"/>
      <c r="L64" t="s">
        <v>9</v>
      </c>
      <c r="M64" t="s">
        <v>9</v>
      </c>
      <c r="N64" t="s">
        <v>9</v>
      </c>
      <c r="O64" t="s">
        <v>9</v>
      </c>
      <c r="P64" t="s">
        <v>9</v>
      </c>
      <c r="Q64" t="s">
        <v>9</v>
      </c>
      <c r="R64" t="s">
        <v>9</v>
      </c>
      <c r="S64" t="s">
        <v>9</v>
      </c>
      <c r="T64" t="s">
        <v>9</v>
      </c>
      <c r="U64" t="s">
        <v>9</v>
      </c>
      <c r="V64" t="s">
        <v>9</v>
      </c>
      <c r="W64" t="s">
        <v>9</v>
      </c>
      <c r="X64" t="s">
        <v>9</v>
      </c>
      <c r="Y64" t="s">
        <v>9</v>
      </c>
      <c r="Z64" t="s">
        <v>9</v>
      </c>
      <c r="AA64" t="s">
        <v>9</v>
      </c>
      <c r="AB64" t="s">
        <v>9</v>
      </c>
      <c r="AC64" t="s">
        <v>9</v>
      </c>
      <c r="AD64" t="s">
        <v>9</v>
      </c>
      <c r="AE64" t="s">
        <v>9</v>
      </c>
      <c r="AF64" t="s">
        <v>9</v>
      </c>
      <c r="AG64" t="s">
        <v>9</v>
      </c>
      <c r="AH64" t="s">
        <v>9</v>
      </c>
      <c r="AI64" t="s">
        <v>9</v>
      </c>
      <c r="AJ64" t="s">
        <v>9</v>
      </c>
      <c r="AK64" t="s">
        <v>9</v>
      </c>
      <c r="AL64" t="s">
        <v>9</v>
      </c>
      <c r="AM64" t="s">
        <v>9</v>
      </c>
      <c r="AN64" t="s">
        <v>9</v>
      </c>
      <c r="AO64" t="s">
        <v>9</v>
      </c>
      <c r="AP64" t="s">
        <v>9</v>
      </c>
      <c r="AQ64" t="s">
        <v>9</v>
      </c>
      <c r="AR64" t="s">
        <v>9</v>
      </c>
      <c r="AS64" t="s">
        <v>9</v>
      </c>
      <c r="AT64" t="s">
        <v>9</v>
      </c>
      <c r="AU64" t="s">
        <v>9</v>
      </c>
      <c r="AV64" t="s">
        <v>9</v>
      </c>
      <c r="AW64" t="s">
        <v>9</v>
      </c>
      <c r="AX64" t="s">
        <v>9</v>
      </c>
      <c r="AY64" t="s">
        <v>9</v>
      </c>
      <c r="AZ64" t="s">
        <v>9</v>
      </c>
      <c r="BA64" t="s">
        <v>9</v>
      </c>
      <c r="BB64" t="s">
        <v>9</v>
      </c>
      <c r="BC64" t="s">
        <v>9</v>
      </c>
      <c r="BD64" t="s">
        <v>9</v>
      </c>
      <c r="BE64" t="s">
        <v>9</v>
      </c>
    </row>
    <row r="65" spans="1:70" hidden="1">
      <c r="A65" s="169" t="s">
        <v>241</v>
      </c>
      <c r="B65" s="169" t="s">
        <v>49</v>
      </c>
      <c r="C65" s="169">
        <v>2</v>
      </c>
      <c r="D65" s="170" t="s">
        <v>591</v>
      </c>
      <c r="E65" s="170" t="str">
        <f>IF(COUNTIF(Measure_62443_3_3[[#This Row],[G 0.13 Interception of Compromising Interference Signals]:[IND.3.2.3 Insufficient regulations for the use of OT remote maintenance access]],"P")&gt;0,"X","")</f>
        <v/>
      </c>
      <c r="F65" s="170" t="str">
        <f>IF(OR(Measure_62443_3_3[[#This Row],[Requirement Selected (Prefulfilled)]]="X",Measure_62443_3_3[[#This Row],[Relevance revoked]]="Yes"),"X","")</f>
        <v/>
      </c>
      <c r="G6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5" s="170" t="str">
        <f>IF(OR(Measure_62443_3_3[[#This Row],[Requirement Selected (Prefulfilled + Mitigating)]]="X",Measure_62443_3_3[[#This Row],[Relevance revoked]]="Yes"),"X","")</f>
        <v/>
      </c>
      <c r="I65" s="172" t="str">
        <f>IF(VLOOKUP(Measure_62443_3_3[[#This Row],[FR]],'SL-T'!$A$5:$B$11,2,FALSE)&gt;=Measure_62443_3_3[[#This Row],[lowest SL-T]],"X","")</f>
        <v/>
      </c>
      <c r="J65" s="173" t="s">
        <v>91</v>
      </c>
      <c r="K65" s="174"/>
      <c r="L65" t="s">
        <v>9</v>
      </c>
      <c r="M65" t="s">
        <v>9</v>
      </c>
      <c r="N65" t="s">
        <v>9</v>
      </c>
      <c r="O65" t="s">
        <v>9</v>
      </c>
      <c r="P65" t="s">
        <v>9</v>
      </c>
      <c r="Q65" t="s">
        <v>9</v>
      </c>
      <c r="R65" t="s">
        <v>9</v>
      </c>
      <c r="S65" t="s">
        <v>9</v>
      </c>
      <c r="T65" t="s">
        <v>9</v>
      </c>
      <c r="U65" t="s">
        <v>9</v>
      </c>
      <c r="V65" t="s">
        <v>9</v>
      </c>
      <c r="W65" t="s">
        <v>9</v>
      </c>
      <c r="X65" t="s">
        <v>9</v>
      </c>
      <c r="Y65" t="s">
        <v>9</v>
      </c>
      <c r="Z65" t="s">
        <v>9</v>
      </c>
      <c r="AA65" t="s">
        <v>9</v>
      </c>
      <c r="AB65" t="s">
        <v>9</v>
      </c>
      <c r="AC65" t="s">
        <v>9</v>
      </c>
      <c r="AD65" t="s">
        <v>9</v>
      </c>
      <c r="AE65" t="s">
        <v>9</v>
      </c>
      <c r="AF65" t="s">
        <v>9</v>
      </c>
      <c r="AG65" t="s">
        <v>9</v>
      </c>
      <c r="AH65" t="s">
        <v>9</v>
      </c>
      <c r="AI65" t="s">
        <v>9</v>
      </c>
      <c r="AJ65" t="s">
        <v>9</v>
      </c>
      <c r="AK65" t="s">
        <v>9</v>
      </c>
      <c r="AL65" t="s">
        <v>9</v>
      </c>
      <c r="AM65" t="s">
        <v>9</v>
      </c>
      <c r="AN65" t="s">
        <v>9</v>
      </c>
      <c r="AO65" t="s">
        <v>9</v>
      </c>
      <c r="AP65" t="s">
        <v>9</v>
      </c>
      <c r="AQ65" t="s">
        <v>9</v>
      </c>
      <c r="AR65" t="s">
        <v>9</v>
      </c>
      <c r="AS65" t="s">
        <v>9</v>
      </c>
      <c r="AT65" t="s">
        <v>9</v>
      </c>
      <c r="AU65" t="s">
        <v>9</v>
      </c>
      <c r="AV65" t="s">
        <v>9</v>
      </c>
      <c r="AW65" t="s">
        <v>9</v>
      </c>
      <c r="AX65" t="s">
        <v>9</v>
      </c>
      <c r="AY65" t="s">
        <v>9</v>
      </c>
      <c r="AZ65" t="s">
        <v>9</v>
      </c>
      <c r="BA65" t="s">
        <v>9</v>
      </c>
      <c r="BB65" t="s">
        <v>9</v>
      </c>
      <c r="BC65" t="s">
        <v>9</v>
      </c>
      <c r="BD65" t="s">
        <v>9</v>
      </c>
      <c r="BE65" t="s">
        <v>9</v>
      </c>
    </row>
    <row r="66" spans="1:70" hidden="1">
      <c r="A66" s="169" t="s">
        <v>242</v>
      </c>
      <c r="B66" s="169" t="s">
        <v>49</v>
      </c>
      <c r="C66" s="169">
        <v>3</v>
      </c>
      <c r="D66" s="170" t="s">
        <v>591</v>
      </c>
      <c r="E66" s="170" t="str">
        <f>IF(COUNTIF(Measure_62443_3_3[[#This Row],[G 0.13 Interception of Compromising Interference Signals]:[IND.3.2.3 Insufficient regulations for the use of OT remote maintenance access]],"P")&gt;0,"X","")</f>
        <v/>
      </c>
      <c r="F66" s="170" t="str">
        <f>IF(OR(Measure_62443_3_3[[#This Row],[Requirement Selected (Prefulfilled)]]="X",Measure_62443_3_3[[#This Row],[Relevance revoked]]="Yes"),"X","")</f>
        <v/>
      </c>
      <c r="G6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6" s="170" t="str">
        <f>IF(OR(Measure_62443_3_3[[#This Row],[Requirement Selected (Prefulfilled + Mitigating)]]="X",Measure_62443_3_3[[#This Row],[Relevance revoked]]="Yes"),"X","")</f>
        <v/>
      </c>
      <c r="I66" s="172" t="str">
        <f>IF(VLOOKUP(Measure_62443_3_3[[#This Row],[FR]],'SL-T'!$A$5:$B$11,2,FALSE)&gt;=Measure_62443_3_3[[#This Row],[lowest SL-T]],"X","")</f>
        <v/>
      </c>
      <c r="J66" s="173" t="s">
        <v>91</v>
      </c>
      <c r="K66" s="174"/>
      <c r="L66" t="s">
        <v>9</v>
      </c>
      <c r="M66" t="s">
        <v>9</v>
      </c>
      <c r="N66" t="s">
        <v>9</v>
      </c>
      <c r="O66" t="s">
        <v>9</v>
      </c>
      <c r="P66" t="s">
        <v>9</v>
      </c>
      <c r="Q66" t="s">
        <v>9</v>
      </c>
      <c r="R66" t="s">
        <v>9</v>
      </c>
      <c r="S66" t="s">
        <v>9</v>
      </c>
      <c r="T66" t="s">
        <v>9</v>
      </c>
      <c r="U66" t="s">
        <v>9</v>
      </c>
      <c r="V66" t="s">
        <v>9</v>
      </c>
      <c r="W66" t="s">
        <v>9</v>
      </c>
      <c r="X66" t="s">
        <v>9</v>
      </c>
      <c r="Y66" t="s">
        <v>9</v>
      </c>
      <c r="Z66" t="s">
        <v>9</v>
      </c>
      <c r="AA66" t="s">
        <v>9</v>
      </c>
      <c r="AB66" t="s">
        <v>9</v>
      </c>
      <c r="AC66" t="s">
        <v>9</v>
      </c>
      <c r="AD66" t="s">
        <v>9</v>
      </c>
      <c r="AE66" t="s">
        <v>9</v>
      </c>
      <c r="AF66" t="s">
        <v>9</v>
      </c>
      <c r="AG66" t="s">
        <v>9</v>
      </c>
      <c r="AH66" t="s">
        <v>9</v>
      </c>
      <c r="AI66" t="s">
        <v>9</v>
      </c>
      <c r="AJ66" t="s">
        <v>9</v>
      </c>
      <c r="AK66" t="s">
        <v>9</v>
      </c>
      <c r="AL66" t="s">
        <v>9</v>
      </c>
      <c r="AM66" t="s">
        <v>9</v>
      </c>
      <c r="AN66" t="s">
        <v>9</v>
      </c>
      <c r="AO66" t="s">
        <v>9</v>
      </c>
      <c r="AP66" t="s">
        <v>9</v>
      </c>
      <c r="AQ66" t="s">
        <v>9</v>
      </c>
      <c r="AR66" t="s">
        <v>9</v>
      </c>
      <c r="AS66" t="s">
        <v>9</v>
      </c>
      <c r="AT66" t="s">
        <v>9</v>
      </c>
      <c r="AU66" t="s">
        <v>9</v>
      </c>
      <c r="AV66" t="s">
        <v>9</v>
      </c>
      <c r="AW66" t="s">
        <v>9</v>
      </c>
      <c r="AX66" t="s">
        <v>9</v>
      </c>
      <c r="AY66" t="s">
        <v>9</v>
      </c>
      <c r="AZ66" t="s">
        <v>9</v>
      </c>
      <c r="BA66" t="s">
        <v>9</v>
      </c>
      <c r="BB66" t="s">
        <v>9</v>
      </c>
      <c r="BC66" t="s">
        <v>9</v>
      </c>
      <c r="BD66" t="s">
        <v>9</v>
      </c>
      <c r="BE66" t="s">
        <v>9</v>
      </c>
    </row>
    <row r="67" spans="1:70" hidden="1">
      <c r="A67" s="169" t="s">
        <v>243</v>
      </c>
      <c r="B67" s="169" t="s">
        <v>49</v>
      </c>
      <c r="C67" s="169">
        <v>3</v>
      </c>
      <c r="D67" s="170" t="s">
        <v>591</v>
      </c>
      <c r="E67" s="170" t="str">
        <f>IF(COUNTIF(Measure_62443_3_3[[#This Row],[G 0.13 Interception of Compromising Interference Signals]:[IND.3.2.3 Insufficient regulations for the use of OT remote maintenance access]],"P")&gt;0,"X","")</f>
        <v/>
      </c>
      <c r="F67" s="170" t="str">
        <f>IF(OR(Measure_62443_3_3[[#This Row],[Requirement Selected (Prefulfilled)]]="X",Measure_62443_3_3[[#This Row],[Relevance revoked]]="Yes"),"X","")</f>
        <v/>
      </c>
      <c r="G6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7" s="170" t="str">
        <f>IF(OR(Measure_62443_3_3[[#This Row],[Requirement Selected (Prefulfilled + Mitigating)]]="X",Measure_62443_3_3[[#This Row],[Relevance revoked]]="Yes"),"X","")</f>
        <v/>
      </c>
      <c r="I67" s="172" t="str">
        <f>IF(VLOOKUP(Measure_62443_3_3[[#This Row],[FR]],'SL-T'!$A$5:$B$11,2,FALSE)&gt;=Measure_62443_3_3[[#This Row],[lowest SL-T]],"X","")</f>
        <v/>
      </c>
      <c r="J67" s="173" t="s">
        <v>91</v>
      </c>
      <c r="K67" s="174"/>
      <c r="L67" t="s">
        <v>9</v>
      </c>
      <c r="M67" t="s">
        <v>9</v>
      </c>
      <c r="N67" t="s">
        <v>9</v>
      </c>
      <c r="O67" t="s">
        <v>9</v>
      </c>
      <c r="P67" t="s">
        <v>9</v>
      </c>
      <c r="Q67" t="s">
        <v>9</v>
      </c>
      <c r="R67" t="s">
        <v>9</v>
      </c>
      <c r="S67" t="s">
        <v>9</v>
      </c>
      <c r="T67" t="s">
        <v>9</v>
      </c>
      <c r="U67" t="s">
        <v>9</v>
      </c>
      <c r="V67" t="s">
        <v>9</v>
      </c>
      <c r="W67" t="s">
        <v>9</v>
      </c>
      <c r="X67" t="s">
        <v>9</v>
      </c>
      <c r="Y67" t="s">
        <v>9</v>
      </c>
      <c r="Z67" t="s">
        <v>9</v>
      </c>
      <c r="AA67" t="s">
        <v>9</v>
      </c>
      <c r="AB67" t="s">
        <v>9</v>
      </c>
      <c r="AC67" t="s">
        <v>9</v>
      </c>
      <c r="AD67" t="s">
        <v>9</v>
      </c>
      <c r="AE67" t="s">
        <v>9</v>
      </c>
      <c r="AF67" t="s">
        <v>9</v>
      </c>
      <c r="AG67" t="s">
        <v>9</v>
      </c>
      <c r="AH67" t="s">
        <v>9</v>
      </c>
      <c r="AI67" t="s">
        <v>9</v>
      </c>
      <c r="AJ67" t="s">
        <v>9</v>
      </c>
      <c r="AK67" t="s">
        <v>9</v>
      </c>
      <c r="AL67" t="s">
        <v>9</v>
      </c>
      <c r="AM67" t="s">
        <v>9</v>
      </c>
      <c r="AN67" t="s">
        <v>9</v>
      </c>
      <c r="AO67" t="s">
        <v>9</v>
      </c>
      <c r="AP67" t="s">
        <v>9</v>
      </c>
      <c r="AQ67" t="s">
        <v>9</v>
      </c>
      <c r="AR67" t="s">
        <v>9</v>
      </c>
      <c r="AS67" t="s">
        <v>9</v>
      </c>
      <c r="AT67" t="s">
        <v>9</v>
      </c>
      <c r="AU67" t="s">
        <v>9</v>
      </c>
      <c r="AV67" t="s">
        <v>9</v>
      </c>
      <c r="AW67" t="s">
        <v>9</v>
      </c>
      <c r="AX67" t="s">
        <v>9</v>
      </c>
      <c r="AY67" t="s">
        <v>9</v>
      </c>
      <c r="AZ67" t="s">
        <v>9</v>
      </c>
      <c r="BA67" t="s">
        <v>9</v>
      </c>
      <c r="BB67" t="s">
        <v>9</v>
      </c>
      <c r="BC67" t="s">
        <v>9</v>
      </c>
      <c r="BD67" t="s">
        <v>9</v>
      </c>
      <c r="BE67" t="s">
        <v>9</v>
      </c>
    </row>
    <row r="68" spans="1:70" hidden="1">
      <c r="A68" s="169" t="s">
        <v>244</v>
      </c>
      <c r="B68" s="169" t="s">
        <v>49</v>
      </c>
      <c r="C68" s="169">
        <v>4</v>
      </c>
      <c r="D68" s="170" t="s">
        <v>591</v>
      </c>
      <c r="E68" s="170" t="str">
        <f>IF(COUNTIF(Measure_62443_3_3[[#This Row],[G 0.13 Interception of Compromising Interference Signals]:[IND.3.2.3 Insufficient regulations for the use of OT remote maintenance access]],"P")&gt;0,"X","")</f>
        <v/>
      </c>
      <c r="F68" s="170" t="str">
        <f>IF(OR(Measure_62443_3_3[[#This Row],[Requirement Selected (Prefulfilled)]]="X",Measure_62443_3_3[[#This Row],[Relevance revoked]]="Yes"),"X","")</f>
        <v/>
      </c>
      <c r="G6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8" s="170" t="str">
        <f>IF(OR(Measure_62443_3_3[[#This Row],[Requirement Selected (Prefulfilled + Mitigating)]]="X",Measure_62443_3_3[[#This Row],[Relevance revoked]]="Yes"),"X","")</f>
        <v/>
      </c>
      <c r="I68" s="172" t="str">
        <f>IF(VLOOKUP(Measure_62443_3_3[[#This Row],[FR]],'SL-T'!$A$5:$B$11,2,FALSE)&gt;=Measure_62443_3_3[[#This Row],[lowest SL-T]],"X","")</f>
        <v/>
      </c>
      <c r="J68" s="173" t="s">
        <v>91</v>
      </c>
      <c r="K68" s="174"/>
      <c r="L68" t="s">
        <v>9</v>
      </c>
      <c r="M68" t="s">
        <v>9</v>
      </c>
      <c r="N68" t="s">
        <v>9</v>
      </c>
      <c r="O68" t="s">
        <v>9</v>
      </c>
      <c r="P68" t="s">
        <v>9</v>
      </c>
      <c r="Q68" t="s">
        <v>9</v>
      </c>
      <c r="R68" t="s">
        <v>9</v>
      </c>
      <c r="S68" t="s">
        <v>9</v>
      </c>
      <c r="T68" t="s">
        <v>9</v>
      </c>
      <c r="U68" t="s">
        <v>9</v>
      </c>
      <c r="V68" t="s">
        <v>9</v>
      </c>
      <c r="W68" t="s">
        <v>9</v>
      </c>
      <c r="X68" t="s">
        <v>9</v>
      </c>
      <c r="Y68" t="s">
        <v>9</v>
      </c>
      <c r="Z68" t="s">
        <v>9</v>
      </c>
      <c r="AA68" t="s">
        <v>9</v>
      </c>
      <c r="AB68" t="s">
        <v>9</v>
      </c>
      <c r="AC68" t="s">
        <v>9</v>
      </c>
      <c r="AD68" t="s">
        <v>9</v>
      </c>
      <c r="AE68" t="s">
        <v>9</v>
      </c>
      <c r="AF68" t="s">
        <v>9</v>
      </c>
      <c r="AG68" t="s">
        <v>9</v>
      </c>
      <c r="AH68" t="s">
        <v>9</v>
      </c>
      <c r="AI68" t="s">
        <v>9</v>
      </c>
      <c r="AJ68" t="s">
        <v>9</v>
      </c>
      <c r="AK68" t="s">
        <v>9</v>
      </c>
      <c r="AL68" t="s">
        <v>9</v>
      </c>
      <c r="AM68" t="s">
        <v>9</v>
      </c>
      <c r="AN68" t="s">
        <v>9</v>
      </c>
      <c r="AO68" t="s">
        <v>9</v>
      </c>
      <c r="AP68" t="s">
        <v>9</v>
      </c>
      <c r="AQ68" t="s">
        <v>9</v>
      </c>
      <c r="AR68" t="s">
        <v>9</v>
      </c>
      <c r="AS68" t="s">
        <v>9</v>
      </c>
      <c r="AT68" t="s">
        <v>9</v>
      </c>
      <c r="AU68" t="s">
        <v>9</v>
      </c>
      <c r="AV68" t="s">
        <v>9</v>
      </c>
      <c r="AW68" t="s">
        <v>9</v>
      </c>
      <c r="AX68" t="s">
        <v>9</v>
      </c>
      <c r="AY68" t="s">
        <v>9</v>
      </c>
      <c r="AZ68" t="s">
        <v>9</v>
      </c>
      <c r="BA68" t="s">
        <v>9</v>
      </c>
      <c r="BB68" t="s">
        <v>9</v>
      </c>
      <c r="BC68" t="s">
        <v>9</v>
      </c>
      <c r="BD68" t="s">
        <v>9</v>
      </c>
      <c r="BE68" t="s">
        <v>9</v>
      </c>
    </row>
    <row r="69" spans="1:70" hidden="1">
      <c r="A69" s="169" t="s">
        <v>245</v>
      </c>
      <c r="B69" s="169" t="s">
        <v>49</v>
      </c>
      <c r="C69" s="169">
        <v>2</v>
      </c>
      <c r="D69" s="170" t="s">
        <v>591</v>
      </c>
      <c r="E69" s="170" t="str">
        <f>IF(COUNTIF(Measure_62443_3_3[[#This Row],[G 0.13 Interception of Compromising Interference Signals]:[IND.3.2.3 Insufficient regulations for the use of OT remote maintenance access]],"P")&gt;0,"X","")</f>
        <v/>
      </c>
      <c r="F69" s="170" t="str">
        <f>IF(OR(Measure_62443_3_3[[#This Row],[Requirement Selected (Prefulfilled)]]="X",Measure_62443_3_3[[#This Row],[Relevance revoked]]="Yes"),"X","")</f>
        <v/>
      </c>
      <c r="G6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69" s="170" t="str">
        <f>IF(OR(Measure_62443_3_3[[#This Row],[Requirement Selected (Prefulfilled + Mitigating)]]="X",Measure_62443_3_3[[#This Row],[Relevance revoked]]="Yes"),"X","")</f>
        <v/>
      </c>
      <c r="I69" s="172" t="str">
        <f>IF(VLOOKUP(Measure_62443_3_3[[#This Row],[FR]],'SL-T'!$A$5:$B$11,2,FALSE)&gt;=Measure_62443_3_3[[#This Row],[lowest SL-T]],"X","")</f>
        <v/>
      </c>
      <c r="J69" s="173" t="s">
        <v>91</v>
      </c>
      <c r="K69" s="174"/>
      <c r="L69" t="s">
        <v>9</v>
      </c>
      <c r="M69" t="s">
        <v>9</v>
      </c>
      <c r="N69" t="s">
        <v>9</v>
      </c>
      <c r="O69" t="s">
        <v>9</v>
      </c>
      <c r="P69" t="s">
        <v>9</v>
      </c>
      <c r="Q69" t="s">
        <v>9</v>
      </c>
      <c r="R69" t="s">
        <v>9</v>
      </c>
      <c r="S69" t="s">
        <v>9</v>
      </c>
      <c r="T69" t="s">
        <v>9</v>
      </c>
      <c r="U69" t="s">
        <v>9</v>
      </c>
      <c r="V69" t="s">
        <v>9</v>
      </c>
      <c r="W69" t="s">
        <v>9</v>
      </c>
      <c r="X69" t="s">
        <v>9</v>
      </c>
      <c r="Y69" t="s">
        <v>9</v>
      </c>
      <c r="Z69" t="s">
        <v>9</v>
      </c>
      <c r="AA69" t="s">
        <v>9</v>
      </c>
      <c r="AB69" t="s">
        <v>9</v>
      </c>
      <c r="AC69" t="s">
        <v>9</v>
      </c>
      <c r="AD69" t="s">
        <v>9</v>
      </c>
      <c r="AE69" t="s">
        <v>9</v>
      </c>
      <c r="AF69" t="s">
        <v>9</v>
      </c>
      <c r="AG69" t="s">
        <v>9</v>
      </c>
      <c r="AH69" t="s">
        <v>9</v>
      </c>
      <c r="AI69" t="s">
        <v>9</v>
      </c>
      <c r="AJ69" t="s">
        <v>9</v>
      </c>
      <c r="AK69" t="s">
        <v>9</v>
      </c>
      <c r="AL69" t="s">
        <v>9</v>
      </c>
      <c r="AM69" t="s">
        <v>9</v>
      </c>
      <c r="AN69" t="s">
        <v>9</v>
      </c>
      <c r="AO69" t="s">
        <v>9</v>
      </c>
      <c r="AP69" t="s">
        <v>9</v>
      </c>
      <c r="AQ69" t="s">
        <v>9</v>
      </c>
      <c r="AR69" t="s">
        <v>9</v>
      </c>
      <c r="AS69" t="s">
        <v>9</v>
      </c>
      <c r="AT69" t="s">
        <v>9</v>
      </c>
      <c r="AU69" t="s">
        <v>9</v>
      </c>
      <c r="AV69" t="s">
        <v>9</v>
      </c>
      <c r="AW69" t="s">
        <v>9</v>
      </c>
      <c r="AX69" t="s">
        <v>9</v>
      </c>
      <c r="AY69" t="s">
        <v>9</v>
      </c>
      <c r="AZ69" t="s">
        <v>9</v>
      </c>
      <c r="BA69" t="s">
        <v>9</v>
      </c>
      <c r="BB69" t="s">
        <v>9</v>
      </c>
      <c r="BC69" t="s">
        <v>9</v>
      </c>
      <c r="BD69" t="s">
        <v>9</v>
      </c>
      <c r="BE69" t="s">
        <v>9</v>
      </c>
    </row>
    <row r="70" spans="1:70" hidden="1">
      <c r="A70" s="169" t="s">
        <v>246</v>
      </c>
      <c r="B70" s="169" t="s">
        <v>49</v>
      </c>
      <c r="C70" s="169">
        <v>4</v>
      </c>
      <c r="D70" s="170" t="s">
        <v>591</v>
      </c>
      <c r="E70" s="170" t="str">
        <f>IF(COUNTIF(Measure_62443_3_3[[#This Row],[G 0.13 Interception of Compromising Interference Signals]:[IND.3.2.3 Insufficient regulations for the use of OT remote maintenance access]],"P")&gt;0,"X","")</f>
        <v/>
      </c>
      <c r="F70" s="170" t="str">
        <f>IF(OR(Measure_62443_3_3[[#This Row],[Requirement Selected (Prefulfilled)]]="X",Measure_62443_3_3[[#This Row],[Relevance revoked]]="Yes"),"X","")</f>
        <v/>
      </c>
      <c r="G7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0" s="170" t="str">
        <f>IF(OR(Measure_62443_3_3[[#This Row],[Requirement Selected (Prefulfilled + Mitigating)]]="X",Measure_62443_3_3[[#This Row],[Relevance revoked]]="Yes"),"X","")</f>
        <v/>
      </c>
      <c r="I70" s="172" t="str">
        <f>IF(VLOOKUP(Measure_62443_3_3[[#This Row],[FR]],'SL-T'!$A$5:$B$11,2,FALSE)&gt;=Measure_62443_3_3[[#This Row],[lowest SL-T]],"X","")</f>
        <v/>
      </c>
      <c r="J70" s="173" t="s">
        <v>91</v>
      </c>
      <c r="K70" s="174"/>
      <c r="L70" t="s">
        <v>9</v>
      </c>
      <c r="M70" t="s">
        <v>9</v>
      </c>
      <c r="N70" t="s">
        <v>9</v>
      </c>
      <c r="O70" t="s">
        <v>9</v>
      </c>
      <c r="P70" t="s">
        <v>9</v>
      </c>
      <c r="Q70" t="s">
        <v>9</v>
      </c>
      <c r="R70" t="s">
        <v>9</v>
      </c>
      <c r="S70" t="s">
        <v>9</v>
      </c>
      <c r="T70" t="s">
        <v>9</v>
      </c>
      <c r="U70" t="s">
        <v>9</v>
      </c>
      <c r="V70" t="s">
        <v>9</v>
      </c>
      <c r="W70" t="s">
        <v>9</v>
      </c>
      <c r="X70" t="s">
        <v>9</v>
      </c>
      <c r="Y70" t="s">
        <v>9</v>
      </c>
      <c r="Z70" t="s">
        <v>9</v>
      </c>
      <c r="AA70" t="s">
        <v>9</v>
      </c>
      <c r="AB70" t="s">
        <v>9</v>
      </c>
      <c r="AC70" t="s">
        <v>9</v>
      </c>
      <c r="AD70" t="s">
        <v>9</v>
      </c>
      <c r="AE70" t="s">
        <v>9</v>
      </c>
      <c r="AF70" t="s">
        <v>9</v>
      </c>
      <c r="AG70" t="s">
        <v>9</v>
      </c>
      <c r="AH70" t="s">
        <v>9</v>
      </c>
      <c r="AI70" t="s">
        <v>9</v>
      </c>
      <c r="AJ70" t="s">
        <v>9</v>
      </c>
      <c r="AK70" t="s">
        <v>9</v>
      </c>
      <c r="AL70" t="s">
        <v>9</v>
      </c>
      <c r="AM70" t="s">
        <v>9</v>
      </c>
      <c r="AN70" t="s">
        <v>9</v>
      </c>
      <c r="AO70" t="s">
        <v>9</v>
      </c>
      <c r="AP70" t="s">
        <v>9</v>
      </c>
      <c r="AQ70" t="s">
        <v>9</v>
      </c>
      <c r="AR70" t="s">
        <v>9</v>
      </c>
      <c r="AS70" t="s">
        <v>9</v>
      </c>
      <c r="AT70" t="s">
        <v>9</v>
      </c>
      <c r="AU70" t="s">
        <v>9</v>
      </c>
      <c r="AV70" t="s">
        <v>9</v>
      </c>
      <c r="AW70" t="s">
        <v>9</v>
      </c>
      <c r="AX70" t="s">
        <v>9</v>
      </c>
      <c r="AY70" t="s">
        <v>9</v>
      </c>
      <c r="AZ70" t="s">
        <v>9</v>
      </c>
      <c r="BA70" t="s">
        <v>9</v>
      </c>
      <c r="BB70" t="s">
        <v>9</v>
      </c>
      <c r="BC70" t="s">
        <v>9</v>
      </c>
      <c r="BD70" t="s">
        <v>9</v>
      </c>
      <c r="BE70" t="s">
        <v>9</v>
      </c>
    </row>
    <row r="71" spans="1:70" hidden="1">
      <c r="A71" s="169" t="s">
        <v>247</v>
      </c>
      <c r="B71" s="169" t="s">
        <v>50</v>
      </c>
      <c r="C71" s="169">
        <v>1</v>
      </c>
      <c r="D71" s="170" t="s">
        <v>591</v>
      </c>
      <c r="E71" s="170" t="str">
        <f>IF(COUNTIF(Measure_62443_3_3[[#This Row],[G 0.13 Interception of Compromising Interference Signals]:[IND.3.2.3 Insufficient regulations for the use of OT remote maintenance access]],"P")&gt;0,"X","")</f>
        <v/>
      </c>
      <c r="F71" s="170" t="str">
        <f>IF(OR(Measure_62443_3_3[[#This Row],[Requirement Selected (Prefulfilled)]]="X",Measure_62443_3_3[[#This Row],[Relevance revoked]]="Yes"),"X","")</f>
        <v/>
      </c>
      <c r="G7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1" s="170" t="str">
        <f>IF(OR(Measure_62443_3_3[[#This Row],[Requirement Selected (Prefulfilled + Mitigating)]]="X",Measure_62443_3_3[[#This Row],[Relevance revoked]]="Yes"),"X","")</f>
        <v/>
      </c>
      <c r="I71" s="172" t="str">
        <f>IF(VLOOKUP(Measure_62443_3_3[[#This Row],[FR]],'SL-T'!$A$5:$B$11,2,FALSE)&gt;=Measure_62443_3_3[[#This Row],[lowest SL-T]],"X","")</f>
        <v/>
      </c>
      <c r="J71" s="173" t="s">
        <v>91</v>
      </c>
      <c r="K71" s="174"/>
      <c r="L71" t="s">
        <v>9</v>
      </c>
      <c r="M71" t="s">
        <v>9</v>
      </c>
      <c r="N71" t="s">
        <v>9</v>
      </c>
      <c r="O71" t="s">
        <v>9</v>
      </c>
      <c r="P71" t="s">
        <v>9</v>
      </c>
      <c r="Q71" t="s">
        <v>9</v>
      </c>
      <c r="R71" t="s">
        <v>9</v>
      </c>
      <c r="S71" t="s">
        <v>9</v>
      </c>
      <c r="T71" t="s">
        <v>9</v>
      </c>
      <c r="U71" t="s">
        <v>9</v>
      </c>
      <c r="V71" t="s">
        <v>9</v>
      </c>
      <c r="W71" t="s">
        <v>9</v>
      </c>
      <c r="X71" t="s">
        <v>9</v>
      </c>
      <c r="Y71" t="s">
        <v>9</v>
      </c>
      <c r="Z71" t="s">
        <v>9</v>
      </c>
      <c r="AA71" t="s">
        <v>9</v>
      </c>
      <c r="AB71" t="s">
        <v>9</v>
      </c>
      <c r="AC71" t="s">
        <v>9</v>
      </c>
      <c r="AD71" t="s">
        <v>9</v>
      </c>
      <c r="AE71" t="s">
        <v>9</v>
      </c>
      <c r="AF71" t="s">
        <v>9</v>
      </c>
      <c r="AG71" t="s">
        <v>9</v>
      </c>
      <c r="AH71" t="s">
        <v>9</v>
      </c>
      <c r="AI71" t="s">
        <v>9</v>
      </c>
      <c r="AJ71" t="s">
        <v>9</v>
      </c>
      <c r="AK71" t="s">
        <v>9</v>
      </c>
      <c r="AL71" t="s">
        <v>9</v>
      </c>
      <c r="AM71" t="s">
        <v>9</v>
      </c>
      <c r="AN71" t="s">
        <v>9</v>
      </c>
      <c r="AO71" t="s">
        <v>9</v>
      </c>
      <c r="AP71" t="s">
        <v>9</v>
      </c>
      <c r="AQ71" t="s">
        <v>9</v>
      </c>
      <c r="AR71" t="s">
        <v>9</v>
      </c>
      <c r="AS71" t="s">
        <v>9</v>
      </c>
      <c r="AT71" t="s">
        <v>9</v>
      </c>
      <c r="AU71" t="s">
        <v>9</v>
      </c>
      <c r="AV71" t="s">
        <v>9</v>
      </c>
      <c r="AW71" t="s">
        <v>9</v>
      </c>
      <c r="AX71" t="s">
        <v>9</v>
      </c>
      <c r="AY71" t="s">
        <v>9</v>
      </c>
      <c r="AZ71" t="s">
        <v>9</v>
      </c>
      <c r="BA71" t="s">
        <v>9</v>
      </c>
      <c r="BB71" t="s">
        <v>9</v>
      </c>
      <c r="BC71" t="s">
        <v>9</v>
      </c>
      <c r="BD71" t="s">
        <v>9</v>
      </c>
      <c r="BE71" t="s">
        <v>9</v>
      </c>
      <c r="BF71" t="s">
        <v>9</v>
      </c>
      <c r="BG71" t="s">
        <v>9</v>
      </c>
      <c r="BH71" t="s">
        <v>9</v>
      </c>
      <c r="BI71" t="s">
        <v>9</v>
      </c>
      <c r="BJ71" t="s">
        <v>9</v>
      </c>
      <c r="BK71" t="s">
        <v>9</v>
      </c>
      <c r="BL71" t="s">
        <v>9</v>
      </c>
      <c r="BM71" t="s">
        <v>9</v>
      </c>
      <c r="BN71" t="s">
        <v>9</v>
      </c>
      <c r="BO71" t="s">
        <v>9</v>
      </c>
      <c r="BP71" t="s">
        <v>9</v>
      </c>
      <c r="BQ71" t="s">
        <v>9</v>
      </c>
      <c r="BR71" t="s">
        <v>9</v>
      </c>
    </row>
    <row r="72" spans="1:70" hidden="1">
      <c r="A72" s="169" t="s">
        <v>248</v>
      </c>
      <c r="B72" s="169" t="s">
        <v>50</v>
      </c>
      <c r="C72" s="169">
        <v>2</v>
      </c>
      <c r="D72" s="170" t="s">
        <v>591</v>
      </c>
      <c r="E72" s="170" t="str">
        <f>IF(COUNTIF(Measure_62443_3_3[[#This Row],[G 0.13 Interception of Compromising Interference Signals]:[IND.3.2.3 Insufficient regulations for the use of OT remote maintenance access]],"P")&gt;0,"X","")</f>
        <v/>
      </c>
      <c r="F72" s="170" t="str">
        <f>IF(OR(Measure_62443_3_3[[#This Row],[Requirement Selected (Prefulfilled)]]="X",Measure_62443_3_3[[#This Row],[Relevance revoked]]="Yes"),"X","")</f>
        <v/>
      </c>
      <c r="G7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2" s="170" t="str">
        <f>IF(OR(Measure_62443_3_3[[#This Row],[Requirement Selected (Prefulfilled + Mitigating)]]="X",Measure_62443_3_3[[#This Row],[Relevance revoked]]="Yes"),"X","")</f>
        <v/>
      </c>
      <c r="I72" s="172" t="str">
        <f>IF(VLOOKUP(Measure_62443_3_3[[#This Row],[FR]],'SL-T'!$A$5:$B$11,2,FALSE)&gt;=Measure_62443_3_3[[#This Row],[lowest SL-T]],"X","")</f>
        <v/>
      </c>
      <c r="J72" s="173" t="s">
        <v>91</v>
      </c>
      <c r="K72" s="174"/>
      <c r="L72" t="s">
        <v>9</v>
      </c>
      <c r="M72" t="s">
        <v>9</v>
      </c>
      <c r="N72" t="s">
        <v>9</v>
      </c>
      <c r="O72" t="s">
        <v>9</v>
      </c>
      <c r="P72" t="s">
        <v>9</v>
      </c>
      <c r="Q72" t="s">
        <v>9</v>
      </c>
      <c r="R72" t="s">
        <v>9</v>
      </c>
      <c r="S72" t="s">
        <v>9</v>
      </c>
      <c r="T72" t="s">
        <v>9</v>
      </c>
      <c r="U72" t="s">
        <v>9</v>
      </c>
      <c r="V72" t="s">
        <v>9</v>
      </c>
      <c r="W72" t="s">
        <v>9</v>
      </c>
      <c r="X72" t="s">
        <v>9</v>
      </c>
      <c r="Y72" t="s">
        <v>9</v>
      </c>
      <c r="Z72" t="s">
        <v>9</v>
      </c>
      <c r="AA72" t="s">
        <v>9</v>
      </c>
      <c r="AB72" t="s">
        <v>9</v>
      </c>
      <c r="AC72" t="s">
        <v>9</v>
      </c>
      <c r="AD72" t="s">
        <v>9</v>
      </c>
      <c r="AE72" t="s">
        <v>9</v>
      </c>
      <c r="AF72" t="s">
        <v>9</v>
      </c>
      <c r="AG72" t="s">
        <v>9</v>
      </c>
      <c r="AH72" t="s">
        <v>9</v>
      </c>
      <c r="AI72" t="s">
        <v>9</v>
      </c>
      <c r="AJ72" t="s">
        <v>9</v>
      </c>
      <c r="AK72" t="s">
        <v>9</v>
      </c>
      <c r="AL72" t="s">
        <v>9</v>
      </c>
      <c r="AM72" t="s">
        <v>9</v>
      </c>
      <c r="AN72" t="s">
        <v>9</v>
      </c>
      <c r="AO72" t="s">
        <v>9</v>
      </c>
      <c r="AP72" t="s">
        <v>9</v>
      </c>
      <c r="AQ72" t="s">
        <v>9</v>
      </c>
      <c r="AR72" t="s">
        <v>9</v>
      </c>
      <c r="AS72" t="s">
        <v>9</v>
      </c>
      <c r="AT72" t="s">
        <v>9</v>
      </c>
      <c r="AU72" t="s">
        <v>9</v>
      </c>
      <c r="AV72" t="s">
        <v>9</v>
      </c>
      <c r="AW72" t="s">
        <v>9</v>
      </c>
      <c r="AX72" t="s">
        <v>9</v>
      </c>
      <c r="AY72" t="s">
        <v>9</v>
      </c>
      <c r="AZ72" t="s">
        <v>9</v>
      </c>
      <c r="BA72" t="s">
        <v>9</v>
      </c>
      <c r="BB72" t="s">
        <v>9</v>
      </c>
      <c r="BC72" t="s">
        <v>9</v>
      </c>
      <c r="BD72" t="s">
        <v>9</v>
      </c>
      <c r="BE72" t="s">
        <v>9</v>
      </c>
    </row>
    <row r="73" spans="1:70" hidden="1">
      <c r="A73" s="169" t="s">
        <v>249</v>
      </c>
      <c r="B73" s="169" t="s">
        <v>50</v>
      </c>
      <c r="C73" s="169">
        <v>4</v>
      </c>
      <c r="D73" s="170" t="s">
        <v>591</v>
      </c>
      <c r="E73" s="170" t="str">
        <f>IF(COUNTIF(Measure_62443_3_3[[#This Row],[G 0.13 Interception of Compromising Interference Signals]:[IND.3.2.3 Insufficient regulations for the use of OT remote maintenance access]],"P")&gt;0,"X","")</f>
        <v/>
      </c>
      <c r="F73" s="170" t="str">
        <f>IF(OR(Measure_62443_3_3[[#This Row],[Requirement Selected (Prefulfilled)]]="X",Measure_62443_3_3[[#This Row],[Relevance revoked]]="Yes"),"X","")</f>
        <v/>
      </c>
      <c r="G7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3" s="170" t="str">
        <f>IF(OR(Measure_62443_3_3[[#This Row],[Requirement Selected (Prefulfilled + Mitigating)]]="X",Measure_62443_3_3[[#This Row],[Relevance revoked]]="Yes"),"X","")</f>
        <v/>
      </c>
      <c r="I73" s="172" t="str">
        <f>IF(VLOOKUP(Measure_62443_3_3[[#This Row],[FR]],'SL-T'!$A$5:$B$11,2,FALSE)&gt;=Measure_62443_3_3[[#This Row],[lowest SL-T]],"X","")</f>
        <v/>
      </c>
      <c r="J73" s="173" t="s">
        <v>91</v>
      </c>
      <c r="K73" s="174"/>
      <c r="L73" t="s">
        <v>9</v>
      </c>
      <c r="M73" t="s">
        <v>9</v>
      </c>
      <c r="N73" t="s">
        <v>9</v>
      </c>
      <c r="O73" t="s">
        <v>9</v>
      </c>
      <c r="P73" t="s">
        <v>9</v>
      </c>
      <c r="Q73" t="s">
        <v>9</v>
      </c>
      <c r="R73" t="s">
        <v>9</v>
      </c>
      <c r="S73" t="s">
        <v>9</v>
      </c>
      <c r="T73" t="s">
        <v>9</v>
      </c>
      <c r="U73" t="s">
        <v>9</v>
      </c>
      <c r="V73" t="s">
        <v>9</v>
      </c>
      <c r="W73" t="s">
        <v>9</v>
      </c>
      <c r="X73" t="s">
        <v>9</v>
      </c>
      <c r="Y73" t="s">
        <v>9</v>
      </c>
      <c r="Z73" t="s">
        <v>9</v>
      </c>
      <c r="AA73" t="s">
        <v>9</v>
      </c>
      <c r="AB73" t="s">
        <v>9</v>
      </c>
      <c r="AC73" t="s">
        <v>9</v>
      </c>
      <c r="AD73" t="s">
        <v>9</v>
      </c>
      <c r="AE73" t="s">
        <v>9</v>
      </c>
      <c r="AF73" t="s">
        <v>9</v>
      </c>
      <c r="AG73" t="s">
        <v>9</v>
      </c>
      <c r="AH73" t="s">
        <v>9</v>
      </c>
      <c r="AI73" t="s">
        <v>9</v>
      </c>
      <c r="AJ73" t="s">
        <v>9</v>
      </c>
      <c r="AK73" t="s">
        <v>9</v>
      </c>
      <c r="AL73" t="s">
        <v>9</v>
      </c>
      <c r="AM73" t="s">
        <v>9</v>
      </c>
      <c r="AN73" t="s">
        <v>9</v>
      </c>
      <c r="AO73" t="s">
        <v>9</v>
      </c>
      <c r="AP73" t="s">
        <v>9</v>
      </c>
      <c r="AQ73" t="s">
        <v>9</v>
      </c>
      <c r="AR73" t="s">
        <v>9</v>
      </c>
      <c r="AS73" t="s">
        <v>9</v>
      </c>
      <c r="AT73" t="s">
        <v>9</v>
      </c>
      <c r="AU73" t="s">
        <v>9</v>
      </c>
      <c r="AV73" t="s">
        <v>9</v>
      </c>
      <c r="AW73" t="s">
        <v>9</v>
      </c>
      <c r="AX73" t="s">
        <v>9</v>
      </c>
      <c r="AY73" t="s">
        <v>9</v>
      </c>
      <c r="AZ73" t="s">
        <v>9</v>
      </c>
      <c r="BA73" t="s">
        <v>9</v>
      </c>
      <c r="BB73" t="s">
        <v>9</v>
      </c>
      <c r="BC73" t="s">
        <v>9</v>
      </c>
      <c r="BD73" t="s">
        <v>9</v>
      </c>
      <c r="BE73" t="s">
        <v>9</v>
      </c>
    </row>
    <row r="74" spans="1:70" hidden="1">
      <c r="A74" s="169" t="s">
        <v>250</v>
      </c>
      <c r="B74" s="169" t="s">
        <v>50</v>
      </c>
      <c r="C74" s="169">
        <v>2</v>
      </c>
      <c r="D74" s="170" t="s">
        <v>591</v>
      </c>
      <c r="E74" s="170" t="str">
        <f>IF(COUNTIF(Measure_62443_3_3[[#This Row],[G 0.13 Interception of Compromising Interference Signals]:[IND.3.2.3 Insufficient regulations for the use of OT remote maintenance access]],"P")&gt;0,"X","")</f>
        <v/>
      </c>
      <c r="F74" s="170" t="str">
        <f>IF(OR(Measure_62443_3_3[[#This Row],[Requirement Selected (Prefulfilled)]]="X",Measure_62443_3_3[[#This Row],[Relevance revoked]]="Yes"),"X","")</f>
        <v/>
      </c>
      <c r="G7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4" s="170" t="str">
        <f>IF(OR(Measure_62443_3_3[[#This Row],[Requirement Selected (Prefulfilled + Mitigating)]]="X",Measure_62443_3_3[[#This Row],[Relevance revoked]]="Yes"),"X","")</f>
        <v/>
      </c>
      <c r="I74" s="172" t="str">
        <f>IF(VLOOKUP(Measure_62443_3_3[[#This Row],[FR]],'SL-T'!$A$5:$B$11,2,FALSE)&gt;=Measure_62443_3_3[[#This Row],[lowest SL-T]],"X","")</f>
        <v/>
      </c>
      <c r="J74" s="173" t="s">
        <v>91</v>
      </c>
      <c r="K74" s="174"/>
      <c r="L74" t="s">
        <v>9</v>
      </c>
      <c r="M74" t="s">
        <v>9</v>
      </c>
      <c r="N74" t="s">
        <v>9</v>
      </c>
      <c r="O74" t="s">
        <v>9</v>
      </c>
      <c r="P74" t="s">
        <v>9</v>
      </c>
      <c r="Q74" t="s">
        <v>9</v>
      </c>
      <c r="R74" t="s">
        <v>9</v>
      </c>
      <c r="S74" t="s">
        <v>9</v>
      </c>
      <c r="T74" t="s">
        <v>9</v>
      </c>
      <c r="U74" t="s">
        <v>9</v>
      </c>
      <c r="V74" t="s">
        <v>9</v>
      </c>
      <c r="W74" t="s">
        <v>9</v>
      </c>
      <c r="X74" t="s">
        <v>9</v>
      </c>
      <c r="Y74" t="s">
        <v>9</v>
      </c>
      <c r="Z74" t="s">
        <v>9</v>
      </c>
      <c r="AA74" t="s">
        <v>9</v>
      </c>
      <c r="AB74" t="s">
        <v>9</v>
      </c>
      <c r="AC74" t="s">
        <v>9</v>
      </c>
      <c r="AD74" t="s">
        <v>9</v>
      </c>
      <c r="AE74" t="s">
        <v>9</v>
      </c>
      <c r="AF74" t="s">
        <v>9</v>
      </c>
      <c r="AG74" t="s">
        <v>9</v>
      </c>
      <c r="AH74" t="s">
        <v>9</v>
      </c>
      <c r="AI74" t="s">
        <v>9</v>
      </c>
      <c r="AJ74" t="s">
        <v>9</v>
      </c>
      <c r="AK74" t="s">
        <v>9</v>
      </c>
      <c r="AL74" t="s">
        <v>9</v>
      </c>
      <c r="AM74" t="s">
        <v>9</v>
      </c>
      <c r="AN74" t="s">
        <v>9</v>
      </c>
      <c r="AO74" t="s">
        <v>9</v>
      </c>
      <c r="AP74" t="s">
        <v>9</v>
      </c>
      <c r="AQ74" t="s">
        <v>9</v>
      </c>
      <c r="AR74" t="s">
        <v>9</v>
      </c>
      <c r="AS74" t="s">
        <v>9</v>
      </c>
      <c r="AT74" t="s">
        <v>9</v>
      </c>
      <c r="AU74" t="s">
        <v>9</v>
      </c>
      <c r="AV74" t="s">
        <v>9</v>
      </c>
      <c r="AW74" t="s">
        <v>9</v>
      </c>
      <c r="AX74" t="s">
        <v>9</v>
      </c>
      <c r="AY74" t="s">
        <v>9</v>
      </c>
      <c r="AZ74" t="s">
        <v>9</v>
      </c>
      <c r="BA74" t="s">
        <v>9</v>
      </c>
      <c r="BB74" t="s">
        <v>9</v>
      </c>
      <c r="BC74" t="s">
        <v>9</v>
      </c>
      <c r="BD74" t="s">
        <v>9</v>
      </c>
      <c r="BE74" t="s">
        <v>9</v>
      </c>
    </row>
    <row r="75" spans="1:70" hidden="1">
      <c r="A75" s="169" t="s">
        <v>251</v>
      </c>
      <c r="B75" s="169" t="s">
        <v>50</v>
      </c>
      <c r="C75" s="169">
        <v>3</v>
      </c>
      <c r="D75" s="170" t="s">
        <v>591</v>
      </c>
      <c r="E75" s="170" t="str">
        <f>IF(COUNTIF(Measure_62443_3_3[[#This Row],[G 0.13 Interception of Compromising Interference Signals]:[IND.3.2.3 Insufficient regulations for the use of OT remote maintenance access]],"P")&gt;0,"X","")</f>
        <v/>
      </c>
      <c r="F75" s="170" t="str">
        <f>IF(OR(Measure_62443_3_3[[#This Row],[Requirement Selected (Prefulfilled)]]="X",Measure_62443_3_3[[#This Row],[Relevance revoked]]="Yes"),"X","")</f>
        <v/>
      </c>
      <c r="G7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5" s="170" t="str">
        <f>IF(OR(Measure_62443_3_3[[#This Row],[Requirement Selected (Prefulfilled + Mitigating)]]="X",Measure_62443_3_3[[#This Row],[Relevance revoked]]="Yes"),"X","")</f>
        <v/>
      </c>
      <c r="I75" s="172" t="str">
        <f>IF(VLOOKUP(Measure_62443_3_3[[#This Row],[FR]],'SL-T'!$A$5:$B$11,2,FALSE)&gt;=Measure_62443_3_3[[#This Row],[lowest SL-T]],"X","")</f>
        <v/>
      </c>
      <c r="J75" s="173" t="s">
        <v>91</v>
      </c>
      <c r="K75" s="174"/>
      <c r="L75" t="s">
        <v>9</v>
      </c>
      <c r="M75" t="s">
        <v>9</v>
      </c>
      <c r="N75" t="s">
        <v>9</v>
      </c>
      <c r="O75" t="s">
        <v>9</v>
      </c>
      <c r="P75" t="s">
        <v>9</v>
      </c>
      <c r="Q75" t="s">
        <v>9</v>
      </c>
      <c r="R75" t="s">
        <v>9</v>
      </c>
      <c r="S75" t="s">
        <v>9</v>
      </c>
      <c r="T75" t="s">
        <v>9</v>
      </c>
      <c r="U75" t="s">
        <v>9</v>
      </c>
      <c r="V75" t="s">
        <v>9</v>
      </c>
      <c r="W75" t="s">
        <v>9</v>
      </c>
      <c r="X75" t="s">
        <v>9</v>
      </c>
      <c r="Y75" t="s">
        <v>9</v>
      </c>
      <c r="Z75" t="s">
        <v>9</v>
      </c>
      <c r="AA75" t="s">
        <v>9</v>
      </c>
      <c r="AB75" t="s">
        <v>9</v>
      </c>
      <c r="AC75" t="s">
        <v>9</v>
      </c>
      <c r="AD75" t="s">
        <v>9</v>
      </c>
      <c r="AE75" t="s">
        <v>9</v>
      </c>
      <c r="AF75" t="s">
        <v>9</v>
      </c>
      <c r="AG75" t="s">
        <v>9</v>
      </c>
      <c r="AH75" t="s">
        <v>9</v>
      </c>
      <c r="AI75" t="s">
        <v>9</v>
      </c>
      <c r="AJ75" t="s">
        <v>9</v>
      </c>
      <c r="AK75" t="s">
        <v>9</v>
      </c>
      <c r="AL75" t="s">
        <v>9</v>
      </c>
      <c r="AM75" t="s">
        <v>9</v>
      </c>
      <c r="AN75" t="s">
        <v>9</v>
      </c>
      <c r="AO75" t="s">
        <v>9</v>
      </c>
      <c r="AP75" t="s">
        <v>9</v>
      </c>
      <c r="AQ75" t="s">
        <v>9</v>
      </c>
      <c r="AR75" t="s">
        <v>9</v>
      </c>
      <c r="AS75" t="s">
        <v>9</v>
      </c>
      <c r="AT75" t="s">
        <v>9</v>
      </c>
      <c r="AU75" t="s">
        <v>9</v>
      </c>
      <c r="AV75" t="s">
        <v>9</v>
      </c>
      <c r="AW75" t="s">
        <v>9</v>
      </c>
      <c r="AX75" t="s">
        <v>9</v>
      </c>
      <c r="AY75" t="s">
        <v>9</v>
      </c>
      <c r="AZ75" t="s">
        <v>9</v>
      </c>
      <c r="BA75" t="s">
        <v>9</v>
      </c>
      <c r="BB75" t="s">
        <v>9</v>
      </c>
      <c r="BC75" t="s">
        <v>9</v>
      </c>
      <c r="BD75" t="s">
        <v>9</v>
      </c>
      <c r="BE75" t="s">
        <v>9</v>
      </c>
    </row>
    <row r="76" spans="1:70" hidden="1">
      <c r="A76" s="169" t="s">
        <v>252</v>
      </c>
      <c r="B76" s="169" t="s">
        <v>50</v>
      </c>
      <c r="C76" s="169">
        <v>1</v>
      </c>
      <c r="D76" s="170" t="s">
        <v>591</v>
      </c>
      <c r="E76" s="170" t="str">
        <f>IF(COUNTIF(Measure_62443_3_3[[#This Row],[G 0.13 Interception of Compromising Interference Signals]:[IND.3.2.3 Insufficient regulations for the use of OT remote maintenance access]],"P")&gt;0,"X","")</f>
        <v/>
      </c>
      <c r="F76" s="170" t="str">
        <f>IF(OR(Measure_62443_3_3[[#This Row],[Requirement Selected (Prefulfilled)]]="X",Measure_62443_3_3[[#This Row],[Relevance revoked]]="Yes"),"X","")</f>
        <v/>
      </c>
      <c r="G7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6" s="170" t="str">
        <f>IF(OR(Measure_62443_3_3[[#This Row],[Requirement Selected (Prefulfilled + Mitigating)]]="X",Measure_62443_3_3[[#This Row],[Relevance revoked]]="Yes"),"X","")</f>
        <v/>
      </c>
      <c r="I76" s="172" t="str">
        <f>IF(VLOOKUP(Measure_62443_3_3[[#This Row],[FR]],'SL-T'!$A$5:$B$11,2,FALSE)&gt;=Measure_62443_3_3[[#This Row],[lowest SL-T]],"X","")</f>
        <v/>
      </c>
      <c r="J76" s="173" t="s">
        <v>91</v>
      </c>
      <c r="K76" s="174"/>
      <c r="L76" t="s">
        <v>9</v>
      </c>
      <c r="M76" t="s">
        <v>9</v>
      </c>
      <c r="N76" t="s">
        <v>9</v>
      </c>
      <c r="O76" t="s">
        <v>9</v>
      </c>
      <c r="P76" t="s">
        <v>9</v>
      </c>
      <c r="Q76" t="s">
        <v>9</v>
      </c>
      <c r="R76" t="s">
        <v>9</v>
      </c>
      <c r="S76" t="s">
        <v>9</v>
      </c>
      <c r="T76" t="s">
        <v>9</v>
      </c>
      <c r="U76" t="s">
        <v>9</v>
      </c>
      <c r="V76" t="s">
        <v>9</v>
      </c>
      <c r="W76" t="s">
        <v>9</v>
      </c>
      <c r="X76" t="s">
        <v>9</v>
      </c>
      <c r="Y76" t="s">
        <v>9</v>
      </c>
      <c r="Z76" t="s">
        <v>9</v>
      </c>
      <c r="AA76" t="s">
        <v>9</v>
      </c>
      <c r="AB76" t="s">
        <v>9</v>
      </c>
      <c r="AC76" t="s">
        <v>9</v>
      </c>
      <c r="AD76" t="s">
        <v>9</v>
      </c>
      <c r="AE76" t="s">
        <v>9</v>
      </c>
      <c r="AF76" t="s">
        <v>9</v>
      </c>
      <c r="AG76" t="s">
        <v>9</v>
      </c>
      <c r="AH76" t="s">
        <v>9</v>
      </c>
      <c r="AI76" t="s">
        <v>9</v>
      </c>
      <c r="AJ76" t="s">
        <v>9</v>
      </c>
      <c r="AK76" t="s">
        <v>9</v>
      </c>
      <c r="AL76" t="s">
        <v>9</v>
      </c>
      <c r="AM76" t="s">
        <v>9</v>
      </c>
      <c r="AN76" t="s">
        <v>9</v>
      </c>
      <c r="AO76" t="s">
        <v>9</v>
      </c>
      <c r="AP76" t="s">
        <v>9</v>
      </c>
      <c r="AQ76" t="s">
        <v>9</v>
      </c>
      <c r="AR76" t="s">
        <v>9</v>
      </c>
      <c r="AS76" t="s">
        <v>9</v>
      </c>
      <c r="AT76" t="s">
        <v>9</v>
      </c>
      <c r="AU76" t="s">
        <v>9</v>
      </c>
      <c r="AV76" t="s">
        <v>9</v>
      </c>
      <c r="AW76" t="s">
        <v>9</v>
      </c>
      <c r="AX76" t="s">
        <v>9</v>
      </c>
      <c r="AY76" t="s">
        <v>9</v>
      </c>
      <c r="AZ76" t="s">
        <v>9</v>
      </c>
      <c r="BA76" t="s">
        <v>9</v>
      </c>
      <c r="BB76" t="s">
        <v>9</v>
      </c>
      <c r="BC76" t="s">
        <v>9</v>
      </c>
      <c r="BD76" t="s">
        <v>9</v>
      </c>
      <c r="BE76" t="s">
        <v>9</v>
      </c>
      <c r="BF76" t="s">
        <v>9</v>
      </c>
      <c r="BG76" t="s">
        <v>9</v>
      </c>
      <c r="BH76" t="s">
        <v>9</v>
      </c>
      <c r="BI76" t="s">
        <v>9</v>
      </c>
      <c r="BJ76" t="s">
        <v>9</v>
      </c>
      <c r="BK76" t="s">
        <v>9</v>
      </c>
      <c r="BL76" t="s">
        <v>9</v>
      </c>
      <c r="BM76" t="s">
        <v>9</v>
      </c>
      <c r="BN76" t="s">
        <v>9</v>
      </c>
      <c r="BO76" t="s">
        <v>9</v>
      </c>
      <c r="BP76" t="s">
        <v>9</v>
      </c>
      <c r="BQ76" t="s">
        <v>9</v>
      </c>
      <c r="BR76" t="s">
        <v>9</v>
      </c>
    </row>
    <row r="77" spans="1:70">
      <c r="A77" s="169" t="s">
        <v>253</v>
      </c>
      <c r="B77" s="169" t="s">
        <v>51</v>
      </c>
      <c r="C77" s="169">
        <v>1</v>
      </c>
      <c r="D77" s="170" t="s">
        <v>591</v>
      </c>
      <c r="E77" s="170" t="str">
        <f>IF(COUNTIF(Measure_62443_3_3[[#This Row],[G 0.13 Interception of Compromising Interference Signals]:[IND.3.2.3 Insufficient regulations for the use of OT remote maintenance access]],"P")&gt;0,"X","")</f>
        <v/>
      </c>
      <c r="F77" s="170" t="str">
        <f>IF(OR(Measure_62443_3_3[[#This Row],[Requirement Selected (Prefulfilled)]]="X",Measure_62443_3_3[[#This Row],[Relevance revoked]]="Yes"),"X","")</f>
        <v/>
      </c>
      <c r="G7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7" s="170" t="str">
        <f>IF(OR(Measure_62443_3_3[[#This Row],[Requirement Selected (Prefulfilled + Mitigating)]]="X",Measure_62443_3_3[[#This Row],[Relevance revoked]]="Yes"),"X","")</f>
        <v/>
      </c>
      <c r="I77" s="172" t="str">
        <f>IF(VLOOKUP(Measure_62443_3_3[[#This Row],[FR]],'SL-T'!$A$5:$B$11,2,FALSE)&gt;=Measure_62443_3_3[[#This Row],[lowest SL-T]],"X","")</f>
        <v>X</v>
      </c>
      <c r="J77" s="173" t="s">
        <v>91</v>
      </c>
      <c r="K77" s="174"/>
      <c r="L77" t="s">
        <v>9</v>
      </c>
      <c r="M77" t="s">
        <v>9</v>
      </c>
      <c r="N77" t="s">
        <v>9</v>
      </c>
      <c r="O77" t="s">
        <v>9</v>
      </c>
      <c r="P77" t="s">
        <v>9</v>
      </c>
      <c r="Q77" t="s">
        <v>9</v>
      </c>
      <c r="R77" t="s">
        <v>9</v>
      </c>
      <c r="S77" t="s">
        <v>9</v>
      </c>
      <c r="T77" t="s">
        <v>9</v>
      </c>
      <c r="U77" t="s">
        <v>9</v>
      </c>
      <c r="V77" t="s">
        <v>9</v>
      </c>
      <c r="W77" t="s">
        <v>9</v>
      </c>
      <c r="X77" t="s">
        <v>9</v>
      </c>
      <c r="Y77" t="s">
        <v>9</v>
      </c>
      <c r="Z77" t="s">
        <v>9</v>
      </c>
      <c r="AA77" t="s">
        <v>9</v>
      </c>
      <c r="AB77" t="s">
        <v>9</v>
      </c>
      <c r="AC77" t="s">
        <v>9</v>
      </c>
      <c r="AD77" t="s">
        <v>9</v>
      </c>
      <c r="AE77" t="s">
        <v>9</v>
      </c>
      <c r="AF77" t="s">
        <v>9</v>
      </c>
      <c r="AG77" t="s">
        <v>9</v>
      </c>
      <c r="AH77" t="s">
        <v>9</v>
      </c>
      <c r="AI77" t="s">
        <v>9</v>
      </c>
      <c r="AJ77" t="s">
        <v>9</v>
      </c>
      <c r="AK77" t="s">
        <v>9</v>
      </c>
      <c r="AL77" t="s">
        <v>9</v>
      </c>
      <c r="AM77" t="s">
        <v>9</v>
      </c>
      <c r="AN77" t="s">
        <v>9</v>
      </c>
      <c r="AO77" t="s">
        <v>9</v>
      </c>
      <c r="AP77" t="s">
        <v>9</v>
      </c>
      <c r="AQ77" t="s">
        <v>9</v>
      </c>
      <c r="AR77" t="s">
        <v>9</v>
      </c>
      <c r="AS77" t="s">
        <v>9</v>
      </c>
      <c r="AT77" t="s">
        <v>9</v>
      </c>
      <c r="AU77" t="s">
        <v>9</v>
      </c>
      <c r="AV77" t="s">
        <v>9</v>
      </c>
      <c r="AW77" t="s">
        <v>9</v>
      </c>
      <c r="AX77" t="s">
        <v>9</v>
      </c>
      <c r="AY77" t="s">
        <v>9</v>
      </c>
      <c r="AZ77" t="s">
        <v>9</v>
      </c>
      <c r="BA77" t="s">
        <v>9</v>
      </c>
      <c r="BB77" t="s">
        <v>9</v>
      </c>
      <c r="BC77" t="s">
        <v>9</v>
      </c>
      <c r="BD77" t="s">
        <v>9</v>
      </c>
      <c r="BE77" t="s">
        <v>9</v>
      </c>
      <c r="BF77" t="s">
        <v>9</v>
      </c>
      <c r="BG77" t="s">
        <v>9</v>
      </c>
      <c r="BH77" t="s">
        <v>9</v>
      </c>
      <c r="BI77" t="s">
        <v>9</v>
      </c>
      <c r="BJ77" t="s">
        <v>9</v>
      </c>
      <c r="BK77" t="s">
        <v>9</v>
      </c>
      <c r="BL77" t="s">
        <v>9</v>
      </c>
      <c r="BM77" t="s">
        <v>9</v>
      </c>
      <c r="BN77" t="s">
        <v>9</v>
      </c>
      <c r="BO77" t="s">
        <v>9</v>
      </c>
      <c r="BP77" t="s">
        <v>9</v>
      </c>
      <c r="BQ77" t="s">
        <v>9</v>
      </c>
      <c r="BR77" t="s">
        <v>9</v>
      </c>
    </row>
    <row r="78" spans="1:70">
      <c r="A78" s="169" t="s">
        <v>254</v>
      </c>
      <c r="B78" s="169" t="s">
        <v>51</v>
      </c>
      <c r="C78" s="169">
        <v>2</v>
      </c>
      <c r="D78" s="170" t="s">
        <v>591</v>
      </c>
      <c r="E78" s="170" t="str">
        <f>IF(COUNTIF(Measure_62443_3_3[[#This Row],[G 0.13 Interception of Compromising Interference Signals]:[IND.3.2.3 Insufficient regulations for the use of OT remote maintenance access]],"P")&gt;0,"X","")</f>
        <v/>
      </c>
      <c r="F78" s="170" t="str">
        <f>IF(OR(Measure_62443_3_3[[#This Row],[Requirement Selected (Prefulfilled)]]="X",Measure_62443_3_3[[#This Row],[Relevance revoked]]="Yes"),"X","")</f>
        <v/>
      </c>
      <c r="G78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8" s="170" t="str">
        <f>IF(OR(Measure_62443_3_3[[#This Row],[Requirement Selected (Prefulfilled + Mitigating)]]="X",Measure_62443_3_3[[#This Row],[Relevance revoked]]="Yes"),"X","")</f>
        <v/>
      </c>
      <c r="I78" s="172" t="str">
        <f>IF(VLOOKUP(Measure_62443_3_3[[#This Row],[FR]],'SL-T'!$A$5:$B$11,2,FALSE)&gt;=Measure_62443_3_3[[#This Row],[lowest SL-T]],"X","")</f>
        <v>X</v>
      </c>
      <c r="J78" s="173" t="s">
        <v>91</v>
      </c>
      <c r="K78" s="174"/>
      <c r="L78" t="s">
        <v>9</v>
      </c>
      <c r="M78" t="s">
        <v>9</v>
      </c>
      <c r="N78" t="s">
        <v>9</v>
      </c>
      <c r="O78" t="s">
        <v>9</v>
      </c>
      <c r="P78" t="s">
        <v>9</v>
      </c>
      <c r="Q78" t="s">
        <v>9</v>
      </c>
      <c r="R78" t="s">
        <v>9</v>
      </c>
      <c r="S78" t="s">
        <v>9</v>
      </c>
      <c r="T78" t="s">
        <v>9</v>
      </c>
      <c r="U78" t="s">
        <v>9</v>
      </c>
      <c r="V78" t="s">
        <v>9</v>
      </c>
      <c r="W78" t="s">
        <v>9</v>
      </c>
      <c r="X78" t="s">
        <v>9</v>
      </c>
      <c r="Y78" t="s">
        <v>9</v>
      </c>
      <c r="Z78" t="s">
        <v>9</v>
      </c>
      <c r="AA78" t="s">
        <v>9</v>
      </c>
      <c r="AB78" t="s">
        <v>9</v>
      </c>
      <c r="AC78" t="s">
        <v>9</v>
      </c>
      <c r="AD78" t="s">
        <v>9</v>
      </c>
      <c r="AE78" t="s">
        <v>9</v>
      </c>
      <c r="AF78" t="s">
        <v>9</v>
      </c>
      <c r="AG78" t="s">
        <v>9</v>
      </c>
      <c r="AH78" t="s">
        <v>9</v>
      </c>
      <c r="AI78" t="s">
        <v>9</v>
      </c>
      <c r="AJ78" t="s">
        <v>9</v>
      </c>
      <c r="AK78" t="s">
        <v>9</v>
      </c>
      <c r="AL78" t="s">
        <v>9</v>
      </c>
      <c r="AM78" t="s">
        <v>9</v>
      </c>
      <c r="AN78" t="s">
        <v>9</v>
      </c>
      <c r="AO78" t="s">
        <v>9</v>
      </c>
      <c r="AP78" t="s">
        <v>9</v>
      </c>
      <c r="AQ78" t="s">
        <v>9</v>
      </c>
      <c r="AR78" t="s">
        <v>9</v>
      </c>
      <c r="AS78" t="s">
        <v>9</v>
      </c>
      <c r="AT78" t="s">
        <v>9</v>
      </c>
      <c r="AU78" t="s">
        <v>9</v>
      </c>
      <c r="AV78" t="s">
        <v>9</v>
      </c>
      <c r="AW78" t="s">
        <v>9</v>
      </c>
      <c r="AX78" t="s">
        <v>9</v>
      </c>
      <c r="AY78" t="s">
        <v>9</v>
      </c>
      <c r="AZ78" t="s">
        <v>9</v>
      </c>
      <c r="BA78" t="s">
        <v>9</v>
      </c>
      <c r="BB78" t="s">
        <v>9</v>
      </c>
      <c r="BC78" t="s">
        <v>9</v>
      </c>
      <c r="BD78" t="s">
        <v>9</v>
      </c>
      <c r="BE78" t="s">
        <v>9</v>
      </c>
    </row>
    <row r="79" spans="1:70" hidden="1">
      <c r="A79" s="169" t="s">
        <v>255</v>
      </c>
      <c r="B79" s="169" t="s">
        <v>51</v>
      </c>
      <c r="C79" s="169">
        <v>3</v>
      </c>
      <c r="D79" s="170" t="s">
        <v>591</v>
      </c>
      <c r="E79" s="170" t="str">
        <f>IF(COUNTIF(Measure_62443_3_3[[#This Row],[G 0.13 Interception of Compromising Interference Signals]:[IND.3.2.3 Insufficient regulations for the use of OT remote maintenance access]],"P")&gt;0,"X","")</f>
        <v/>
      </c>
      <c r="F79" s="170" t="str">
        <f>IF(OR(Measure_62443_3_3[[#This Row],[Requirement Selected (Prefulfilled)]]="X",Measure_62443_3_3[[#This Row],[Relevance revoked]]="Yes"),"X","")</f>
        <v/>
      </c>
      <c r="G79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79" s="170" t="str">
        <f>IF(OR(Measure_62443_3_3[[#This Row],[Requirement Selected (Prefulfilled + Mitigating)]]="X",Measure_62443_3_3[[#This Row],[Relevance revoked]]="Yes"),"X","")</f>
        <v/>
      </c>
      <c r="I79" s="172" t="str">
        <f>IF(VLOOKUP(Measure_62443_3_3[[#This Row],[FR]],'SL-T'!$A$5:$B$11,2,FALSE)&gt;=Measure_62443_3_3[[#This Row],[lowest SL-T]],"X","")</f>
        <v/>
      </c>
      <c r="J79" s="173" t="s">
        <v>91</v>
      </c>
      <c r="K79" s="174"/>
      <c r="L79" t="s">
        <v>9</v>
      </c>
      <c r="M79" t="s">
        <v>9</v>
      </c>
      <c r="N79" t="s">
        <v>9</v>
      </c>
      <c r="O79" t="s">
        <v>9</v>
      </c>
      <c r="P79" t="s">
        <v>9</v>
      </c>
      <c r="Q79" t="s">
        <v>9</v>
      </c>
      <c r="R79" t="s">
        <v>9</v>
      </c>
      <c r="S79" t="s">
        <v>9</v>
      </c>
      <c r="T79" t="s">
        <v>9</v>
      </c>
      <c r="U79" t="s">
        <v>9</v>
      </c>
      <c r="V79" t="s">
        <v>9</v>
      </c>
      <c r="W79" t="s">
        <v>9</v>
      </c>
      <c r="X79" t="s">
        <v>9</v>
      </c>
      <c r="Y79" t="s">
        <v>9</v>
      </c>
      <c r="Z79" t="s">
        <v>9</v>
      </c>
      <c r="AA79" t="s">
        <v>9</v>
      </c>
      <c r="AB79" t="s">
        <v>9</v>
      </c>
      <c r="AC79" t="s">
        <v>9</v>
      </c>
      <c r="AD79" t="s">
        <v>9</v>
      </c>
      <c r="AE79" t="s">
        <v>9</v>
      </c>
      <c r="AF79" t="s">
        <v>9</v>
      </c>
      <c r="AG79" t="s">
        <v>9</v>
      </c>
      <c r="AH79" t="s">
        <v>9</v>
      </c>
      <c r="AI79" t="s">
        <v>9</v>
      </c>
      <c r="AJ79" t="s">
        <v>9</v>
      </c>
      <c r="AK79" t="s">
        <v>9</v>
      </c>
      <c r="AL79" t="s">
        <v>9</v>
      </c>
      <c r="AM79" t="s">
        <v>9</v>
      </c>
      <c r="AN79" t="s">
        <v>9</v>
      </c>
      <c r="AO79" t="s">
        <v>9</v>
      </c>
      <c r="AP79" t="s">
        <v>9</v>
      </c>
      <c r="AQ79" t="s">
        <v>9</v>
      </c>
      <c r="AR79" t="s">
        <v>9</v>
      </c>
      <c r="AS79" t="s">
        <v>9</v>
      </c>
      <c r="AT79" t="s">
        <v>9</v>
      </c>
      <c r="AU79" t="s">
        <v>9</v>
      </c>
      <c r="AV79" t="s">
        <v>9</v>
      </c>
      <c r="AW79" t="s">
        <v>9</v>
      </c>
      <c r="AX79" t="s">
        <v>9</v>
      </c>
      <c r="AY79" t="s">
        <v>9</v>
      </c>
      <c r="AZ79" t="s">
        <v>9</v>
      </c>
      <c r="BA79" t="s">
        <v>9</v>
      </c>
      <c r="BB79" t="s">
        <v>9</v>
      </c>
      <c r="BC79" t="s">
        <v>9</v>
      </c>
      <c r="BD79" t="s">
        <v>9</v>
      </c>
      <c r="BE79" t="s">
        <v>9</v>
      </c>
    </row>
    <row r="80" spans="1:70" hidden="1">
      <c r="A80" s="169" t="s">
        <v>256</v>
      </c>
      <c r="B80" s="169" t="s">
        <v>51</v>
      </c>
      <c r="C80" s="169">
        <v>4</v>
      </c>
      <c r="D80" s="170" t="s">
        <v>591</v>
      </c>
      <c r="E80" s="170" t="str">
        <f>IF(COUNTIF(Measure_62443_3_3[[#This Row],[G 0.13 Interception of Compromising Interference Signals]:[IND.3.2.3 Insufficient regulations for the use of OT remote maintenance access]],"P")&gt;0,"X","")</f>
        <v/>
      </c>
      <c r="F80" s="170" t="str">
        <f>IF(OR(Measure_62443_3_3[[#This Row],[Requirement Selected (Prefulfilled)]]="X",Measure_62443_3_3[[#This Row],[Relevance revoked]]="Yes"),"X","")</f>
        <v/>
      </c>
      <c r="G80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0" s="170" t="str">
        <f>IF(OR(Measure_62443_3_3[[#This Row],[Requirement Selected (Prefulfilled + Mitigating)]]="X",Measure_62443_3_3[[#This Row],[Relevance revoked]]="Yes"),"X","")</f>
        <v/>
      </c>
      <c r="I80" s="172" t="str">
        <f>IF(VLOOKUP(Measure_62443_3_3[[#This Row],[FR]],'SL-T'!$A$5:$B$11,2,FALSE)&gt;=Measure_62443_3_3[[#This Row],[lowest SL-T]],"X","")</f>
        <v/>
      </c>
      <c r="J80" s="173" t="s">
        <v>91</v>
      </c>
      <c r="K80" s="174"/>
      <c r="L80" t="s">
        <v>9</v>
      </c>
      <c r="M80" t="s">
        <v>9</v>
      </c>
      <c r="N80" t="s">
        <v>9</v>
      </c>
      <c r="O80" t="s">
        <v>9</v>
      </c>
      <c r="P80" t="s">
        <v>9</v>
      </c>
      <c r="Q80" t="s">
        <v>9</v>
      </c>
      <c r="R80" t="s">
        <v>9</v>
      </c>
      <c r="S80" t="s">
        <v>9</v>
      </c>
      <c r="T80" t="s">
        <v>9</v>
      </c>
      <c r="U80" t="s">
        <v>9</v>
      </c>
      <c r="V80" t="s">
        <v>9</v>
      </c>
      <c r="W80" t="s">
        <v>9</v>
      </c>
      <c r="X80" t="s">
        <v>9</v>
      </c>
      <c r="Y80" t="s">
        <v>9</v>
      </c>
      <c r="Z80" t="s">
        <v>9</v>
      </c>
      <c r="AA80" t="s">
        <v>9</v>
      </c>
      <c r="AB80" t="s">
        <v>9</v>
      </c>
      <c r="AC80" t="s">
        <v>9</v>
      </c>
      <c r="AD80" t="s">
        <v>9</v>
      </c>
      <c r="AE80" t="s">
        <v>9</v>
      </c>
      <c r="AF80" t="s">
        <v>9</v>
      </c>
      <c r="AG80" t="s">
        <v>9</v>
      </c>
      <c r="AH80" t="s">
        <v>9</v>
      </c>
      <c r="AI80" t="s">
        <v>9</v>
      </c>
      <c r="AJ80" t="s">
        <v>9</v>
      </c>
      <c r="AK80" t="s">
        <v>9</v>
      </c>
      <c r="AL80" t="s">
        <v>9</v>
      </c>
      <c r="AM80" t="s">
        <v>9</v>
      </c>
      <c r="AN80" t="s">
        <v>9</v>
      </c>
      <c r="AO80" t="s">
        <v>9</v>
      </c>
      <c r="AP80" t="s">
        <v>9</v>
      </c>
      <c r="AQ80" t="s">
        <v>9</v>
      </c>
      <c r="AR80" t="s">
        <v>9</v>
      </c>
      <c r="AS80" t="s">
        <v>9</v>
      </c>
      <c r="AT80" t="s">
        <v>9</v>
      </c>
      <c r="AU80" t="s">
        <v>9</v>
      </c>
      <c r="AV80" t="s">
        <v>9</v>
      </c>
      <c r="AW80" t="s">
        <v>9</v>
      </c>
      <c r="AX80" t="s">
        <v>9</v>
      </c>
      <c r="AY80" t="s">
        <v>9</v>
      </c>
      <c r="AZ80" t="s">
        <v>9</v>
      </c>
      <c r="BA80" t="s">
        <v>9</v>
      </c>
      <c r="BB80" t="s">
        <v>9</v>
      </c>
      <c r="BC80" t="s">
        <v>9</v>
      </c>
      <c r="BD80" t="s">
        <v>9</v>
      </c>
      <c r="BE80" t="s">
        <v>9</v>
      </c>
    </row>
    <row r="81" spans="1:70">
      <c r="A81" s="169" t="s">
        <v>257</v>
      </c>
      <c r="B81" s="169" t="s">
        <v>51</v>
      </c>
      <c r="C81" s="169">
        <v>1</v>
      </c>
      <c r="D81" s="170" t="s">
        <v>591</v>
      </c>
      <c r="E81" s="170" t="str">
        <f>IF(COUNTIF(Measure_62443_3_3[[#This Row],[G 0.13 Interception of Compromising Interference Signals]:[IND.3.2.3 Insufficient regulations for the use of OT remote maintenance access]],"P")&gt;0,"X","")</f>
        <v/>
      </c>
      <c r="F81" s="170" t="str">
        <f>IF(OR(Measure_62443_3_3[[#This Row],[Requirement Selected (Prefulfilled)]]="X",Measure_62443_3_3[[#This Row],[Relevance revoked]]="Yes"),"X","")</f>
        <v/>
      </c>
      <c r="G81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1" s="170" t="str">
        <f>IF(OR(Measure_62443_3_3[[#This Row],[Requirement Selected (Prefulfilled + Mitigating)]]="X",Measure_62443_3_3[[#This Row],[Relevance revoked]]="Yes"),"X","")</f>
        <v/>
      </c>
      <c r="I81" s="172" t="str">
        <f>IF(VLOOKUP(Measure_62443_3_3[[#This Row],[FR]],'SL-T'!$A$5:$B$11,2,FALSE)&gt;=Measure_62443_3_3[[#This Row],[lowest SL-T]],"X","")</f>
        <v>X</v>
      </c>
      <c r="J81" s="173" t="s">
        <v>91</v>
      </c>
      <c r="K81" s="174"/>
      <c r="L81" t="s">
        <v>9</v>
      </c>
      <c r="M81" t="s">
        <v>9</v>
      </c>
      <c r="N81" t="s">
        <v>9</v>
      </c>
      <c r="O81" t="s">
        <v>9</v>
      </c>
      <c r="P81" t="s">
        <v>9</v>
      </c>
      <c r="Q81" t="s">
        <v>9</v>
      </c>
      <c r="R81" t="s">
        <v>9</v>
      </c>
      <c r="S81" t="s">
        <v>9</v>
      </c>
      <c r="T81" t="s">
        <v>9</v>
      </c>
      <c r="U81" t="s">
        <v>9</v>
      </c>
      <c r="V81" t="s">
        <v>9</v>
      </c>
      <c r="W81" t="s">
        <v>9</v>
      </c>
      <c r="X81" t="s">
        <v>9</v>
      </c>
      <c r="Y81" t="s">
        <v>9</v>
      </c>
      <c r="Z81" t="s">
        <v>9</v>
      </c>
      <c r="AA81" t="s">
        <v>9</v>
      </c>
      <c r="AB81" t="s">
        <v>9</v>
      </c>
      <c r="AC81" t="s">
        <v>9</v>
      </c>
      <c r="AD81" t="s">
        <v>9</v>
      </c>
      <c r="AE81" t="s">
        <v>9</v>
      </c>
      <c r="AF81" t="s">
        <v>9</v>
      </c>
      <c r="AG81" t="s">
        <v>9</v>
      </c>
      <c r="AH81" t="s">
        <v>9</v>
      </c>
      <c r="AI81" t="s">
        <v>9</v>
      </c>
      <c r="AJ81" t="s">
        <v>9</v>
      </c>
      <c r="AK81" t="s">
        <v>9</v>
      </c>
      <c r="AL81" t="s">
        <v>9</v>
      </c>
      <c r="AM81" t="s">
        <v>9</v>
      </c>
      <c r="AN81" t="s">
        <v>9</v>
      </c>
      <c r="AO81" t="s">
        <v>9</v>
      </c>
      <c r="AP81" t="s">
        <v>9</v>
      </c>
      <c r="AQ81" t="s">
        <v>9</v>
      </c>
      <c r="AR81" t="s">
        <v>9</v>
      </c>
      <c r="AS81" t="s">
        <v>9</v>
      </c>
      <c r="AT81" t="s">
        <v>9</v>
      </c>
      <c r="AU81" t="s">
        <v>9</v>
      </c>
      <c r="AV81" t="s">
        <v>9</v>
      </c>
      <c r="AW81" t="s">
        <v>9</v>
      </c>
      <c r="AX81" t="s">
        <v>9</v>
      </c>
      <c r="AY81" t="s">
        <v>9</v>
      </c>
      <c r="AZ81" t="s">
        <v>9</v>
      </c>
      <c r="BA81" t="s">
        <v>9</v>
      </c>
      <c r="BB81" t="s">
        <v>9</v>
      </c>
      <c r="BC81" t="s">
        <v>9</v>
      </c>
      <c r="BD81" t="s">
        <v>9</v>
      </c>
      <c r="BE81" t="s">
        <v>9</v>
      </c>
      <c r="BF81" t="s">
        <v>9</v>
      </c>
      <c r="BG81" t="s">
        <v>9</v>
      </c>
      <c r="BH81" t="s">
        <v>9</v>
      </c>
      <c r="BI81" t="s">
        <v>9</v>
      </c>
      <c r="BJ81" t="s">
        <v>9</v>
      </c>
      <c r="BK81" t="s">
        <v>9</v>
      </c>
      <c r="BL81" t="s">
        <v>9</v>
      </c>
      <c r="BM81" t="s">
        <v>9</v>
      </c>
      <c r="BN81" t="s">
        <v>9</v>
      </c>
      <c r="BO81" t="s">
        <v>9</v>
      </c>
      <c r="BP81" t="s">
        <v>9</v>
      </c>
      <c r="BQ81" t="s">
        <v>9</v>
      </c>
      <c r="BR81" t="s">
        <v>9</v>
      </c>
    </row>
    <row r="82" spans="1:70">
      <c r="A82" s="169" t="s">
        <v>258</v>
      </c>
      <c r="B82" s="169" t="s">
        <v>51</v>
      </c>
      <c r="C82" s="169">
        <v>2</v>
      </c>
      <c r="D82" s="170" t="s">
        <v>591</v>
      </c>
      <c r="E82" s="170" t="str">
        <f>IF(COUNTIF(Measure_62443_3_3[[#This Row],[G 0.13 Interception of Compromising Interference Signals]:[IND.3.2.3 Insufficient regulations for the use of OT remote maintenance access]],"P")&gt;0,"X","")</f>
        <v/>
      </c>
      <c r="F82" s="170" t="str">
        <f>IF(OR(Measure_62443_3_3[[#This Row],[Requirement Selected (Prefulfilled)]]="X",Measure_62443_3_3[[#This Row],[Relevance revoked]]="Yes"),"X","")</f>
        <v/>
      </c>
      <c r="G82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2" s="170" t="str">
        <f>IF(OR(Measure_62443_3_3[[#This Row],[Requirement Selected (Prefulfilled + Mitigating)]]="X",Measure_62443_3_3[[#This Row],[Relevance revoked]]="Yes"),"X","")</f>
        <v/>
      </c>
      <c r="I82" s="172" t="str">
        <f>IF(VLOOKUP(Measure_62443_3_3[[#This Row],[FR]],'SL-T'!$A$5:$B$11,2,FALSE)&gt;=Measure_62443_3_3[[#This Row],[lowest SL-T]],"X","")</f>
        <v>X</v>
      </c>
      <c r="J82" s="173" t="s">
        <v>91</v>
      </c>
      <c r="K82" s="174"/>
      <c r="L82" t="s">
        <v>9</v>
      </c>
      <c r="M82" t="s">
        <v>9</v>
      </c>
      <c r="N82" t="s">
        <v>9</v>
      </c>
      <c r="O82" t="s">
        <v>9</v>
      </c>
      <c r="P82" t="s">
        <v>9</v>
      </c>
      <c r="Q82" t="s">
        <v>9</v>
      </c>
      <c r="R82" t="s">
        <v>9</v>
      </c>
      <c r="S82" t="s">
        <v>9</v>
      </c>
      <c r="T82" t="s">
        <v>9</v>
      </c>
      <c r="U82" t="s">
        <v>9</v>
      </c>
      <c r="V82" t="s">
        <v>9</v>
      </c>
      <c r="W82" t="s">
        <v>9</v>
      </c>
      <c r="X82" t="s">
        <v>9</v>
      </c>
      <c r="Y82" t="s">
        <v>9</v>
      </c>
      <c r="Z82" t="s">
        <v>9</v>
      </c>
      <c r="AA82" t="s">
        <v>9</v>
      </c>
      <c r="AB82" t="s">
        <v>9</v>
      </c>
      <c r="AC82" t="s">
        <v>9</v>
      </c>
      <c r="AD82" t="s">
        <v>9</v>
      </c>
      <c r="AE82" t="s">
        <v>9</v>
      </c>
      <c r="AF82" t="s">
        <v>9</v>
      </c>
      <c r="AG82" t="s">
        <v>9</v>
      </c>
      <c r="AH82" t="s">
        <v>9</v>
      </c>
      <c r="AI82" t="s">
        <v>9</v>
      </c>
      <c r="AJ82" t="s">
        <v>9</v>
      </c>
      <c r="AK82" t="s">
        <v>9</v>
      </c>
      <c r="AL82" t="s">
        <v>9</v>
      </c>
      <c r="AM82" t="s">
        <v>9</v>
      </c>
      <c r="AN82" t="s">
        <v>9</v>
      </c>
      <c r="AO82" t="s">
        <v>9</v>
      </c>
      <c r="AP82" t="s">
        <v>9</v>
      </c>
      <c r="AQ82" t="s">
        <v>9</v>
      </c>
      <c r="AR82" t="s">
        <v>9</v>
      </c>
      <c r="AS82" t="s">
        <v>9</v>
      </c>
      <c r="AT82" t="s">
        <v>9</v>
      </c>
      <c r="AU82" t="s">
        <v>9</v>
      </c>
      <c r="AV82" t="s">
        <v>9</v>
      </c>
      <c r="AW82" t="s">
        <v>9</v>
      </c>
      <c r="AX82" t="s">
        <v>9</v>
      </c>
      <c r="AY82" t="s">
        <v>9</v>
      </c>
      <c r="AZ82" t="s">
        <v>9</v>
      </c>
      <c r="BA82" t="s">
        <v>9</v>
      </c>
      <c r="BB82" t="s">
        <v>9</v>
      </c>
      <c r="BC82" t="s">
        <v>9</v>
      </c>
      <c r="BD82" t="s">
        <v>9</v>
      </c>
      <c r="BE82" t="s">
        <v>9</v>
      </c>
    </row>
    <row r="83" spans="1:70" hidden="1">
      <c r="A83" s="169" t="s">
        <v>259</v>
      </c>
      <c r="B83" s="169" t="s">
        <v>51</v>
      </c>
      <c r="C83" s="169">
        <v>3</v>
      </c>
      <c r="D83" s="170" t="s">
        <v>591</v>
      </c>
      <c r="E83" s="170" t="str">
        <f>IF(COUNTIF(Measure_62443_3_3[[#This Row],[G 0.13 Interception of Compromising Interference Signals]:[IND.3.2.3 Insufficient regulations for the use of OT remote maintenance access]],"P")&gt;0,"X","")</f>
        <v/>
      </c>
      <c r="F83" s="170" t="str">
        <f>IF(OR(Measure_62443_3_3[[#This Row],[Requirement Selected (Prefulfilled)]]="X",Measure_62443_3_3[[#This Row],[Relevance revoked]]="Yes"),"X","")</f>
        <v/>
      </c>
      <c r="G8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3" s="170" t="str">
        <f>IF(OR(Measure_62443_3_3[[#This Row],[Requirement Selected (Prefulfilled + Mitigating)]]="X",Measure_62443_3_3[[#This Row],[Relevance revoked]]="Yes"),"X","")</f>
        <v/>
      </c>
      <c r="I83" s="172" t="str">
        <f>IF(VLOOKUP(Measure_62443_3_3[[#This Row],[FR]],'SL-T'!$A$5:$B$11,2,FALSE)&gt;=Measure_62443_3_3[[#This Row],[lowest SL-T]],"X","")</f>
        <v/>
      </c>
      <c r="J83" s="173" t="s">
        <v>91</v>
      </c>
      <c r="K83" s="174"/>
      <c r="L83" t="s">
        <v>9</v>
      </c>
      <c r="M83" t="s">
        <v>9</v>
      </c>
      <c r="N83" t="s">
        <v>9</v>
      </c>
      <c r="O83" t="s">
        <v>9</v>
      </c>
      <c r="P83" t="s">
        <v>9</v>
      </c>
      <c r="Q83" t="s">
        <v>9</v>
      </c>
      <c r="R83" t="s">
        <v>9</v>
      </c>
      <c r="S83" t="s">
        <v>9</v>
      </c>
      <c r="T83" t="s">
        <v>9</v>
      </c>
      <c r="U83" t="s">
        <v>9</v>
      </c>
      <c r="V83" t="s">
        <v>9</v>
      </c>
      <c r="W83" t="s">
        <v>9</v>
      </c>
      <c r="X83" t="s">
        <v>9</v>
      </c>
      <c r="Y83" t="s">
        <v>9</v>
      </c>
      <c r="Z83" t="s">
        <v>9</v>
      </c>
      <c r="AA83" t="s">
        <v>9</v>
      </c>
      <c r="AB83" t="s">
        <v>9</v>
      </c>
      <c r="AC83" t="s">
        <v>9</v>
      </c>
      <c r="AD83" t="s">
        <v>9</v>
      </c>
      <c r="AE83" t="s">
        <v>9</v>
      </c>
      <c r="AF83" t="s">
        <v>9</v>
      </c>
      <c r="AG83" t="s">
        <v>9</v>
      </c>
      <c r="AH83" t="s">
        <v>9</v>
      </c>
      <c r="AI83" t="s">
        <v>9</v>
      </c>
      <c r="AJ83" t="s">
        <v>9</v>
      </c>
      <c r="AK83" t="s">
        <v>9</v>
      </c>
      <c r="AL83" t="s">
        <v>9</v>
      </c>
      <c r="AM83" t="s">
        <v>9</v>
      </c>
      <c r="AN83" t="s">
        <v>9</v>
      </c>
      <c r="AO83" t="s">
        <v>9</v>
      </c>
      <c r="AP83" t="s">
        <v>9</v>
      </c>
      <c r="AQ83" t="s">
        <v>9</v>
      </c>
      <c r="AR83" t="s">
        <v>9</v>
      </c>
      <c r="AS83" t="s">
        <v>9</v>
      </c>
      <c r="AT83" t="s">
        <v>9</v>
      </c>
      <c r="AU83" t="s">
        <v>9</v>
      </c>
      <c r="AV83" t="s">
        <v>9</v>
      </c>
      <c r="AW83" t="s">
        <v>9</v>
      </c>
      <c r="AX83" t="s">
        <v>9</v>
      </c>
      <c r="AY83" t="s">
        <v>9</v>
      </c>
      <c r="AZ83" t="s">
        <v>9</v>
      </c>
      <c r="BA83" t="s">
        <v>9</v>
      </c>
      <c r="BB83" t="s">
        <v>9</v>
      </c>
      <c r="BC83" t="s">
        <v>9</v>
      </c>
      <c r="BD83" t="s">
        <v>9</v>
      </c>
      <c r="BE83" t="s">
        <v>9</v>
      </c>
    </row>
    <row r="84" spans="1:70" hidden="1">
      <c r="A84" s="169" t="s">
        <v>260</v>
      </c>
      <c r="B84" s="169" t="s">
        <v>51</v>
      </c>
      <c r="C84" s="169">
        <v>3</v>
      </c>
      <c r="D84" s="170" t="s">
        <v>591</v>
      </c>
      <c r="E84" s="170" t="str">
        <f>IF(COUNTIF(Measure_62443_3_3[[#This Row],[G 0.13 Interception of Compromising Interference Signals]:[IND.3.2.3 Insufficient regulations for the use of OT remote maintenance access]],"P")&gt;0,"X","")</f>
        <v/>
      </c>
      <c r="F84" s="170" t="str">
        <f>IF(OR(Measure_62443_3_3[[#This Row],[Requirement Selected (Prefulfilled)]]="X",Measure_62443_3_3[[#This Row],[Relevance revoked]]="Yes"),"X","")</f>
        <v/>
      </c>
      <c r="G84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4" s="170" t="str">
        <f>IF(OR(Measure_62443_3_3[[#This Row],[Requirement Selected (Prefulfilled + Mitigating)]]="X",Measure_62443_3_3[[#This Row],[Relevance revoked]]="Yes"),"X","")</f>
        <v/>
      </c>
      <c r="I84" s="172" t="str">
        <f>IF(VLOOKUP(Measure_62443_3_3[[#This Row],[FR]],'SL-T'!$A$5:$B$11,2,FALSE)&gt;=Measure_62443_3_3[[#This Row],[lowest SL-T]],"X","")</f>
        <v/>
      </c>
      <c r="J84" s="173" t="s">
        <v>91</v>
      </c>
      <c r="K84" s="174"/>
      <c r="L84" t="s">
        <v>9</v>
      </c>
      <c r="M84" t="s">
        <v>9</v>
      </c>
      <c r="N84" t="s">
        <v>9</v>
      </c>
      <c r="O84" t="s">
        <v>9</v>
      </c>
      <c r="P84" t="s">
        <v>9</v>
      </c>
      <c r="Q84" t="s">
        <v>9</v>
      </c>
      <c r="R84" t="s">
        <v>9</v>
      </c>
      <c r="S84" t="s">
        <v>9</v>
      </c>
      <c r="T84" t="s">
        <v>9</v>
      </c>
      <c r="U84" t="s">
        <v>9</v>
      </c>
      <c r="V84" t="s">
        <v>9</v>
      </c>
      <c r="W84" t="s">
        <v>9</v>
      </c>
      <c r="X84" t="s">
        <v>9</v>
      </c>
      <c r="Y84" t="s">
        <v>9</v>
      </c>
      <c r="Z84" t="s">
        <v>9</v>
      </c>
      <c r="AA84" t="s">
        <v>9</v>
      </c>
      <c r="AB84" t="s">
        <v>9</v>
      </c>
      <c r="AC84" t="s">
        <v>9</v>
      </c>
      <c r="AD84" t="s">
        <v>9</v>
      </c>
      <c r="AE84" t="s">
        <v>9</v>
      </c>
      <c r="AF84" t="s">
        <v>9</v>
      </c>
      <c r="AG84" t="s">
        <v>9</v>
      </c>
      <c r="AH84" t="s">
        <v>9</v>
      </c>
      <c r="AI84" t="s">
        <v>9</v>
      </c>
      <c r="AJ84" t="s">
        <v>9</v>
      </c>
      <c r="AK84" t="s">
        <v>9</v>
      </c>
      <c r="AL84" t="s">
        <v>9</v>
      </c>
      <c r="AM84" t="s">
        <v>9</v>
      </c>
      <c r="AN84" t="s">
        <v>9</v>
      </c>
      <c r="AO84" t="s">
        <v>9</v>
      </c>
      <c r="AP84" t="s">
        <v>9</v>
      </c>
      <c r="AQ84" t="s">
        <v>9</v>
      </c>
      <c r="AR84" t="s">
        <v>9</v>
      </c>
      <c r="AS84" t="s">
        <v>9</v>
      </c>
      <c r="AT84" t="s">
        <v>9</v>
      </c>
      <c r="AU84" t="s">
        <v>9</v>
      </c>
      <c r="AV84" t="s">
        <v>9</v>
      </c>
      <c r="AW84" t="s">
        <v>9</v>
      </c>
      <c r="AX84" t="s">
        <v>9</v>
      </c>
      <c r="AY84" t="s">
        <v>9</v>
      </c>
      <c r="AZ84" t="s">
        <v>9</v>
      </c>
      <c r="BA84" t="s">
        <v>9</v>
      </c>
      <c r="BB84" t="s">
        <v>9</v>
      </c>
      <c r="BC84" t="s">
        <v>9</v>
      </c>
      <c r="BD84" t="s">
        <v>9</v>
      </c>
      <c r="BE84" t="s">
        <v>9</v>
      </c>
    </row>
    <row r="85" spans="1:70">
      <c r="A85" s="169" t="s">
        <v>261</v>
      </c>
      <c r="B85" s="169" t="s">
        <v>51</v>
      </c>
      <c r="C85" s="169">
        <v>1</v>
      </c>
      <c r="D85" s="170" t="s">
        <v>591</v>
      </c>
      <c r="E85" s="170" t="str">
        <f>IF(COUNTIF(Measure_62443_3_3[[#This Row],[G 0.13 Interception of Compromising Interference Signals]:[IND.3.2.3 Insufficient regulations for the use of OT remote maintenance access]],"P")&gt;0,"X","")</f>
        <v/>
      </c>
      <c r="F85" s="170" t="str">
        <f>IF(OR(Measure_62443_3_3[[#This Row],[Requirement Selected (Prefulfilled)]]="X",Measure_62443_3_3[[#This Row],[Relevance revoked]]="Yes"),"X","")</f>
        <v/>
      </c>
      <c r="G85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5" s="170" t="str">
        <f>IF(OR(Measure_62443_3_3[[#This Row],[Requirement Selected (Prefulfilled + Mitigating)]]="X",Measure_62443_3_3[[#This Row],[Relevance revoked]]="Yes"),"X","")</f>
        <v/>
      </c>
      <c r="I85" s="172" t="str">
        <f>IF(VLOOKUP(Measure_62443_3_3[[#This Row],[FR]],'SL-T'!$A$5:$B$11,2,FALSE)&gt;=Measure_62443_3_3[[#This Row],[lowest SL-T]],"X","")</f>
        <v>X</v>
      </c>
      <c r="J85" s="173" t="s">
        <v>91</v>
      </c>
      <c r="K85" s="174"/>
      <c r="L85" t="s">
        <v>9</v>
      </c>
      <c r="M85" t="s">
        <v>9</v>
      </c>
      <c r="N85" t="s">
        <v>9</v>
      </c>
      <c r="O85" t="s">
        <v>9</v>
      </c>
      <c r="P85" t="s">
        <v>9</v>
      </c>
      <c r="Q85" t="s">
        <v>9</v>
      </c>
      <c r="R85" t="s">
        <v>9</v>
      </c>
      <c r="S85" t="s">
        <v>9</v>
      </c>
      <c r="T85" t="s">
        <v>9</v>
      </c>
      <c r="U85" t="s">
        <v>9</v>
      </c>
      <c r="V85" t="s">
        <v>9</v>
      </c>
      <c r="W85" t="s">
        <v>9</v>
      </c>
      <c r="X85" t="s">
        <v>9</v>
      </c>
      <c r="Y85" t="s">
        <v>9</v>
      </c>
      <c r="Z85" t="s">
        <v>9</v>
      </c>
      <c r="AA85" t="s">
        <v>9</v>
      </c>
      <c r="AB85" t="s">
        <v>9</v>
      </c>
      <c r="AC85" t="s">
        <v>9</v>
      </c>
      <c r="AD85" t="s">
        <v>9</v>
      </c>
      <c r="AE85" t="s">
        <v>9</v>
      </c>
      <c r="AF85" t="s">
        <v>9</v>
      </c>
      <c r="AG85" t="s">
        <v>9</v>
      </c>
      <c r="AH85" t="s">
        <v>9</v>
      </c>
      <c r="AI85" t="s">
        <v>9</v>
      </c>
      <c r="AJ85" t="s">
        <v>9</v>
      </c>
      <c r="AK85" t="s">
        <v>9</v>
      </c>
      <c r="AL85" t="s">
        <v>9</v>
      </c>
      <c r="AM85" t="s">
        <v>9</v>
      </c>
      <c r="AN85" t="s">
        <v>9</v>
      </c>
      <c r="AO85" t="s">
        <v>9</v>
      </c>
      <c r="AP85" t="s">
        <v>9</v>
      </c>
      <c r="AQ85" t="s">
        <v>9</v>
      </c>
      <c r="AR85" t="s">
        <v>9</v>
      </c>
      <c r="AS85" t="s">
        <v>9</v>
      </c>
      <c r="AT85" t="s">
        <v>9</v>
      </c>
      <c r="AU85" t="s">
        <v>9</v>
      </c>
      <c r="AV85" t="s">
        <v>9</v>
      </c>
      <c r="AW85" t="s">
        <v>9</v>
      </c>
      <c r="AX85" t="s">
        <v>9</v>
      </c>
      <c r="AY85" t="s">
        <v>9</v>
      </c>
      <c r="AZ85" t="s">
        <v>9</v>
      </c>
      <c r="BA85" t="s">
        <v>9</v>
      </c>
      <c r="BB85" t="s">
        <v>9</v>
      </c>
      <c r="BC85" t="s">
        <v>9</v>
      </c>
      <c r="BD85" t="s">
        <v>9</v>
      </c>
      <c r="BE85" t="s">
        <v>9</v>
      </c>
      <c r="BF85" t="s">
        <v>9</v>
      </c>
      <c r="BG85" t="s">
        <v>9</v>
      </c>
      <c r="BH85" t="s">
        <v>9</v>
      </c>
      <c r="BI85" t="s">
        <v>9</v>
      </c>
      <c r="BJ85" t="s">
        <v>9</v>
      </c>
      <c r="BK85" t="s">
        <v>9</v>
      </c>
      <c r="BL85" t="s">
        <v>9</v>
      </c>
      <c r="BM85" t="s">
        <v>9</v>
      </c>
      <c r="BN85" t="s">
        <v>9</v>
      </c>
      <c r="BO85" t="s">
        <v>9</v>
      </c>
      <c r="BP85" t="s">
        <v>9</v>
      </c>
      <c r="BQ85" t="s">
        <v>9</v>
      </c>
      <c r="BR85" t="s">
        <v>9</v>
      </c>
    </row>
    <row r="86" spans="1:70" hidden="1">
      <c r="A86" s="169" t="s">
        <v>262</v>
      </c>
      <c r="B86" s="169" t="s">
        <v>51</v>
      </c>
      <c r="C86" s="169">
        <v>3</v>
      </c>
      <c r="D86" s="170" t="s">
        <v>591</v>
      </c>
      <c r="E86" s="170" t="str">
        <f>IF(COUNTIF(Measure_62443_3_3[[#This Row],[G 0.13 Interception of Compromising Interference Signals]:[IND.3.2.3 Insufficient regulations for the use of OT remote maintenance access]],"P")&gt;0,"X","")</f>
        <v/>
      </c>
      <c r="F86" s="170" t="str">
        <f>IF(OR(Measure_62443_3_3[[#This Row],[Requirement Selected (Prefulfilled)]]="X",Measure_62443_3_3[[#This Row],[Relevance revoked]]="Yes"),"X","")</f>
        <v/>
      </c>
      <c r="G86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6" s="170" t="str">
        <f>IF(OR(Measure_62443_3_3[[#This Row],[Requirement Selected (Prefulfilled + Mitigating)]]="X",Measure_62443_3_3[[#This Row],[Relevance revoked]]="Yes"),"X","")</f>
        <v/>
      </c>
      <c r="I86" s="172" t="str">
        <f>IF(VLOOKUP(Measure_62443_3_3[[#This Row],[FR]],'SL-T'!$A$5:$B$11,2,FALSE)&gt;=Measure_62443_3_3[[#This Row],[lowest SL-T]],"X","")</f>
        <v/>
      </c>
      <c r="J86" s="173" t="s">
        <v>91</v>
      </c>
      <c r="K86" s="174"/>
      <c r="L86" t="s">
        <v>9</v>
      </c>
      <c r="M86" t="s">
        <v>9</v>
      </c>
      <c r="N86" t="s">
        <v>9</v>
      </c>
      <c r="O86" t="s">
        <v>9</v>
      </c>
      <c r="P86" t="s">
        <v>9</v>
      </c>
      <c r="Q86" t="s">
        <v>9</v>
      </c>
      <c r="R86" t="s">
        <v>9</v>
      </c>
      <c r="S86" t="s">
        <v>9</v>
      </c>
      <c r="T86" t="s">
        <v>9</v>
      </c>
      <c r="U86" t="s">
        <v>9</v>
      </c>
      <c r="V86" t="s">
        <v>9</v>
      </c>
      <c r="W86" t="s">
        <v>9</v>
      </c>
      <c r="X86" t="s">
        <v>9</v>
      </c>
      <c r="Y86" t="s">
        <v>9</v>
      </c>
      <c r="Z86" t="s">
        <v>9</v>
      </c>
      <c r="AA86" t="s">
        <v>9</v>
      </c>
      <c r="AB86" t="s">
        <v>9</v>
      </c>
      <c r="AC86" t="s">
        <v>9</v>
      </c>
      <c r="AD86" t="s">
        <v>9</v>
      </c>
      <c r="AE86" t="s">
        <v>9</v>
      </c>
      <c r="AF86" t="s">
        <v>9</v>
      </c>
      <c r="AG86" t="s">
        <v>9</v>
      </c>
      <c r="AH86" t="s">
        <v>9</v>
      </c>
      <c r="AI86" t="s">
        <v>9</v>
      </c>
      <c r="AJ86" t="s">
        <v>9</v>
      </c>
      <c r="AK86" t="s">
        <v>9</v>
      </c>
      <c r="AL86" t="s">
        <v>9</v>
      </c>
      <c r="AM86" t="s">
        <v>9</v>
      </c>
      <c r="AN86" t="s">
        <v>9</v>
      </c>
      <c r="AO86" t="s">
        <v>9</v>
      </c>
      <c r="AP86" t="s">
        <v>9</v>
      </c>
      <c r="AQ86" t="s">
        <v>9</v>
      </c>
      <c r="AR86" t="s">
        <v>9</v>
      </c>
      <c r="AS86" t="s">
        <v>9</v>
      </c>
      <c r="AT86" t="s">
        <v>9</v>
      </c>
      <c r="AU86" t="s">
        <v>9</v>
      </c>
      <c r="AV86" t="s">
        <v>9</v>
      </c>
      <c r="AW86" t="s">
        <v>9</v>
      </c>
      <c r="AX86" t="s">
        <v>9</v>
      </c>
      <c r="AY86" t="s">
        <v>9</v>
      </c>
      <c r="AZ86" t="s">
        <v>9</v>
      </c>
      <c r="BA86" t="s">
        <v>9</v>
      </c>
      <c r="BB86" t="s">
        <v>9</v>
      </c>
      <c r="BC86" t="s">
        <v>9</v>
      </c>
      <c r="BD86" t="s">
        <v>9</v>
      </c>
      <c r="BE86" t="s">
        <v>9</v>
      </c>
    </row>
    <row r="87" spans="1:70">
      <c r="A87" s="169" t="s">
        <v>263</v>
      </c>
      <c r="B87" s="169" t="s">
        <v>51</v>
      </c>
      <c r="C87" s="169">
        <v>1</v>
      </c>
      <c r="D87" s="170" t="s">
        <v>591</v>
      </c>
      <c r="E87" s="170" t="str">
        <f>IF(COUNTIF(Measure_62443_3_3[[#This Row],[G 0.13 Interception of Compromising Interference Signals]:[IND.3.2.3 Insufficient regulations for the use of OT remote maintenance access]],"P")&gt;0,"X","")</f>
        <v/>
      </c>
      <c r="F87" s="170" t="str">
        <f>IF(OR(Measure_62443_3_3[[#This Row],[Requirement Selected (Prefulfilled)]]="X",Measure_62443_3_3[[#This Row],[Relevance revoked]]="Yes"),"X","")</f>
        <v/>
      </c>
      <c r="G87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7" s="170" t="str">
        <f>IF(OR(Measure_62443_3_3[[#This Row],[Requirement Selected (Prefulfilled + Mitigating)]]="X",Measure_62443_3_3[[#This Row],[Relevance revoked]]="Yes"),"X","")</f>
        <v/>
      </c>
      <c r="I87" s="172" t="str">
        <f>IF(VLOOKUP(Measure_62443_3_3[[#This Row],[FR]],'SL-T'!$A$5:$B$11,2,FALSE)&gt;=Measure_62443_3_3[[#This Row],[lowest SL-T]],"X","")</f>
        <v>X</v>
      </c>
      <c r="J87" s="173" t="s">
        <v>91</v>
      </c>
      <c r="K87" s="174"/>
      <c r="L87" t="s">
        <v>9</v>
      </c>
      <c r="M87" t="s">
        <v>9</v>
      </c>
      <c r="N87" t="s">
        <v>9</v>
      </c>
      <c r="O87" t="s">
        <v>9</v>
      </c>
      <c r="P87" t="s">
        <v>9</v>
      </c>
      <c r="Q87" t="s">
        <v>9</v>
      </c>
      <c r="R87" t="s">
        <v>9</v>
      </c>
      <c r="S87" t="s">
        <v>9</v>
      </c>
      <c r="T87" t="s">
        <v>9</v>
      </c>
      <c r="U87" t="s">
        <v>9</v>
      </c>
      <c r="V87" t="s">
        <v>9</v>
      </c>
      <c r="W87" t="s">
        <v>9</v>
      </c>
      <c r="X87" t="s">
        <v>9</v>
      </c>
      <c r="Y87" t="s">
        <v>9</v>
      </c>
      <c r="Z87" t="s">
        <v>9</v>
      </c>
      <c r="AA87" t="s">
        <v>9</v>
      </c>
      <c r="AB87" t="s">
        <v>9</v>
      </c>
      <c r="AC87" t="s">
        <v>9</v>
      </c>
      <c r="AD87" t="s">
        <v>9</v>
      </c>
      <c r="AE87" t="s">
        <v>9</v>
      </c>
      <c r="AF87" t="s">
        <v>9</v>
      </c>
      <c r="AG87" t="s">
        <v>9</v>
      </c>
      <c r="AH87" t="s">
        <v>9</v>
      </c>
      <c r="AI87" t="s">
        <v>9</v>
      </c>
      <c r="AJ87" t="s">
        <v>9</v>
      </c>
      <c r="AK87" t="s">
        <v>9</v>
      </c>
      <c r="AL87" t="s">
        <v>9</v>
      </c>
      <c r="AM87" t="s">
        <v>9</v>
      </c>
      <c r="AN87" t="s">
        <v>9</v>
      </c>
      <c r="AO87" t="s">
        <v>9</v>
      </c>
      <c r="AP87" t="s">
        <v>9</v>
      </c>
      <c r="AQ87" t="s">
        <v>9</v>
      </c>
      <c r="AR87" t="s">
        <v>9</v>
      </c>
      <c r="AS87" t="s">
        <v>9</v>
      </c>
      <c r="AT87" t="s">
        <v>9</v>
      </c>
      <c r="AU87" t="s">
        <v>9</v>
      </c>
      <c r="AV87" t="s">
        <v>9</v>
      </c>
      <c r="AW87" t="s">
        <v>9</v>
      </c>
      <c r="AX87" t="s">
        <v>9</v>
      </c>
      <c r="AY87" t="s">
        <v>9</v>
      </c>
      <c r="AZ87" t="s">
        <v>9</v>
      </c>
      <c r="BA87" t="s">
        <v>9</v>
      </c>
      <c r="BB87" t="s">
        <v>9</v>
      </c>
      <c r="BC87" t="s">
        <v>9</v>
      </c>
      <c r="BD87" t="s">
        <v>9</v>
      </c>
      <c r="BE87" t="s">
        <v>9</v>
      </c>
      <c r="BF87" t="s">
        <v>9</v>
      </c>
      <c r="BG87" t="s">
        <v>9</v>
      </c>
      <c r="BH87" t="s">
        <v>9</v>
      </c>
      <c r="BI87" t="s">
        <v>9</v>
      </c>
      <c r="BJ87" t="s">
        <v>9</v>
      </c>
      <c r="BK87" t="s">
        <v>9</v>
      </c>
      <c r="BL87" t="s">
        <v>9</v>
      </c>
      <c r="BM87" t="s">
        <v>9</v>
      </c>
      <c r="BN87" t="s">
        <v>9</v>
      </c>
      <c r="BO87" t="s">
        <v>9</v>
      </c>
      <c r="BP87" t="s">
        <v>9</v>
      </c>
      <c r="BQ87" t="s">
        <v>9</v>
      </c>
      <c r="BR87" t="s">
        <v>9</v>
      </c>
    </row>
    <row r="88" spans="1:70">
      <c r="A88" s="169" t="s">
        <v>264</v>
      </c>
      <c r="B88" s="169" t="s">
        <v>52</v>
      </c>
      <c r="C88" s="169">
        <v>1</v>
      </c>
      <c r="D88" s="170" t="s">
        <v>591</v>
      </c>
      <c r="E88" s="171" t="str">
        <f>IF(COUNTIF(Measure_62443_3_3[[#This Row],[G 0.13 Interception of Compromising Interference Signals]:[IND.3.2.3 Insufficient regulations for the use of OT remote maintenance access]],"P")&gt;0,"X","")</f>
        <v/>
      </c>
      <c r="F88" s="171" t="str">
        <f>IF(OR(Measure_62443_3_3[[#This Row],[Requirement Selected (Prefulfilled)]]="X",Measure_62443_3_3[[#This Row],[Relevance revoked]]="Yes"),"X","")</f>
        <v/>
      </c>
      <c r="G88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8" s="171" t="str">
        <f>IF(OR(Measure_62443_3_3[[#This Row],[Requirement Selected (Prefulfilled + Mitigating)]]="X",Measure_62443_3_3[[#This Row],[Relevance revoked]]="Yes"),"X","")</f>
        <v/>
      </c>
      <c r="I88" s="172" t="str">
        <f>IF(VLOOKUP(Measure_62443_3_3[[#This Row],[FR]],'SL-T'!$A$5:$B$11,2,FALSE)&gt;=Measure_62443_3_3[[#This Row],[lowest SL-T]],"X","")</f>
        <v>X</v>
      </c>
      <c r="J88" s="173" t="s">
        <v>91</v>
      </c>
      <c r="K88" s="174"/>
      <c r="L88" t="s">
        <v>9</v>
      </c>
      <c r="M88" t="s">
        <v>9</v>
      </c>
      <c r="N88" t="s">
        <v>9</v>
      </c>
      <c r="O88" t="s">
        <v>9</v>
      </c>
      <c r="P88" t="s">
        <v>9</v>
      </c>
      <c r="Q88" t="s">
        <v>9</v>
      </c>
      <c r="R88" t="s">
        <v>9</v>
      </c>
      <c r="S88" t="s">
        <v>9</v>
      </c>
      <c r="T88" t="s">
        <v>9</v>
      </c>
      <c r="U88" t="s">
        <v>9</v>
      </c>
      <c r="V88" t="s">
        <v>9</v>
      </c>
      <c r="W88" t="s">
        <v>9</v>
      </c>
      <c r="X88" t="s">
        <v>9</v>
      </c>
      <c r="Y88" t="s">
        <v>9</v>
      </c>
      <c r="Z88" t="s">
        <v>9</v>
      </c>
      <c r="AA88" t="s">
        <v>9</v>
      </c>
      <c r="AB88" t="s">
        <v>9</v>
      </c>
      <c r="AC88" t="s">
        <v>9</v>
      </c>
      <c r="AD88" t="s">
        <v>9</v>
      </c>
      <c r="AE88" t="s">
        <v>9</v>
      </c>
      <c r="AF88" t="s">
        <v>9</v>
      </c>
      <c r="AG88" t="s">
        <v>9</v>
      </c>
      <c r="AH88" t="s">
        <v>9</v>
      </c>
      <c r="AI88" t="s">
        <v>9</v>
      </c>
      <c r="AJ88" t="s">
        <v>9</v>
      </c>
      <c r="AK88" t="s">
        <v>9</v>
      </c>
      <c r="AL88" t="s">
        <v>9</v>
      </c>
      <c r="AM88" t="s">
        <v>9</v>
      </c>
      <c r="AN88" t="s">
        <v>9</v>
      </c>
      <c r="AO88" t="s">
        <v>9</v>
      </c>
      <c r="AP88" t="s">
        <v>9</v>
      </c>
      <c r="AQ88" t="s">
        <v>9</v>
      </c>
      <c r="AR88" t="s">
        <v>9</v>
      </c>
      <c r="AS88" t="s">
        <v>9</v>
      </c>
      <c r="AT88" t="s">
        <v>9</v>
      </c>
      <c r="AU88" t="s">
        <v>9</v>
      </c>
      <c r="AV88" t="s">
        <v>9</v>
      </c>
      <c r="AW88" t="s">
        <v>9</v>
      </c>
      <c r="AX88" t="s">
        <v>9</v>
      </c>
      <c r="AY88" t="s">
        <v>9</v>
      </c>
      <c r="AZ88" t="s">
        <v>9</v>
      </c>
      <c r="BA88" t="s">
        <v>9</v>
      </c>
      <c r="BB88" t="s">
        <v>9</v>
      </c>
      <c r="BC88" t="s">
        <v>9</v>
      </c>
      <c r="BD88" t="s">
        <v>9</v>
      </c>
      <c r="BE88" t="s">
        <v>9</v>
      </c>
      <c r="BF88" t="s">
        <v>9</v>
      </c>
      <c r="BG88" t="s">
        <v>9</v>
      </c>
      <c r="BH88" t="s">
        <v>9</v>
      </c>
      <c r="BI88" t="s">
        <v>9</v>
      </c>
      <c r="BJ88" t="s">
        <v>9</v>
      </c>
      <c r="BK88" t="s">
        <v>9</v>
      </c>
      <c r="BL88" t="s">
        <v>9</v>
      </c>
      <c r="BM88" t="s">
        <v>9</v>
      </c>
      <c r="BN88" t="s">
        <v>9</v>
      </c>
      <c r="BO88" t="s">
        <v>9</v>
      </c>
      <c r="BP88" t="s">
        <v>9</v>
      </c>
      <c r="BQ88" t="s">
        <v>9</v>
      </c>
      <c r="BR88" t="s">
        <v>9</v>
      </c>
    </row>
    <row r="89" spans="1:70" hidden="1">
      <c r="A89" s="169" t="s">
        <v>265</v>
      </c>
      <c r="B89" s="169" t="s">
        <v>52</v>
      </c>
      <c r="C89" s="169">
        <v>3</v>
      </c>
      <c r="D89" s="170" t="s">
        <v>591</v>
      </c>
      <c r="E89" s="171" t="str">
        <f>IF(COUNTIF(Measure_62443_3_3[[#This Row],[G 0.13 Interception of Compromising Interference Signals]:[IND.3.2.3 Insufficient regulations for the use of OT remote maintenance access]],"P")&gt;0,"X","")</f>
        <v/>
      </c>
      <c r="F89" s="171" t="str">
        <f>IF(OR(Measure_62443_3_3[[#This Row],[Requirement Selected (Prefulfilled)]]="X",Measure_62443_3_3[[#This Row],[Relevance revoked]]="Yes"),"X","")</f>
        <v/>
      </c>
      <c r="G89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89" s="171" t="str">
        <f>IF(OR(Measure_62443_3_3[[#This Row],[Requirement Selected (Prefulfilled + Mitigating)]]="X",Measure_62443_3_3[[#This Row],[Relevance revoked]]="Yes"),"X","")</f>
        <v/>
      </c>
      <c r="I89" s="172" t="str">
        <f>IF(VLOOKUP(Measure_62443_3_3[[#This Row],[FR]],'SL-T'!$A$5:$B$11,2,FALSE)&gt;=Measure_62443_3_3[[#This Row],[lowest SL-T]],"X","")</f>
        <v/>
      </c>
      <c r="J89" s="173" t="s">
        <v>91</v>
      </c>
      <c r="K89" s="174"/>
      <c r="L89" t="s">
        <v>9</v>
      </c>
      <c r="M89" t="s">
        <v>9</v>
      </c>
      <c r="N89" t="s">
        <v>9</v>
      </c>
      <c r="O89" t="s">
        <v>9</v>
      </c>
      <c r="P89" t="s">
        <v>9</v>
      </c>
      <c r="Q89" t="s">
        <v>9</v>
      </c>
      <c r="R89" t="s">
        <v>9</v>
      </c>
      <c r="S89" t="s">
        <v>9</v>
      </c>
      <c r="T89" t="s">
        <v>9</v>
      </c>
      <c r="U89" t="s">
        <v>9</v>
      </c>
      <c r="V89" t="s">
        <v>9</v>
      </c>
      <c r="W89" t="s">
        <v>9</v>
      </c>
      <c r="X89" t="s">
        <v>9</v>
      </c>
      <c r="Y89" t="s">
        <v>9</v>
      </c>
      <c r="Z89" t="s">
        <v>9</v>
      </c>
      <c r="AA89" t="s">
        <v>9</v>
      </c>
      <c r="AB89" t="s">
        <v>9</v>
      </c>
      <c r="AC89" t="s">
        <v>9</v>
      </c>
      <c r="AD89" t="s">
        <v>9</v>
      </c>
      <c r="AE89" t="s">
        <v>9</v>
      </c>
      <c r="AF89" t="s">
        <v>9</v>
      </c>
      <c r="AG89" t="s">
        <v>9</v>
      </c>
      <c r="AH89" t="s">
        <v>9</v>
      </c>
      <c r="AI89" t="s">
        <v>9</v>
      </c>
      <c r="AJ89" t="s">
        <v>9</v>
      </c>
      <c r="AK89" t="s">
        <v>9</v>
      </c>
      <c r="AL89" t="s">
        <v>9</v>
      </c>
      <c r="AM89" t="s">
        <v>9</v>
      </c>
      <c r="AN89" t="s">
        <v>9</v>
      </c>
      <c r="AO89" t="s">
        <v>9</v>
      </c>
      <c r="AP89" t="s">
        <v>9</v>
      </c>
      <c r="AQ89" t="s">
        <v>9</v>
      </c>
      <c r="AR89" t="s">
        <v>9</v>
      </c>
      <c r="AS89" t="s">
        <v>9</v>
      </c>
      <c r="AT89" t="s">
        <v>9</v>
      </c>
      <c r="AU89" t="s">
        <v>9</v>
      </c>
      <c r="AV89" t="s">
        <v>9</v>
      </c>
      <c r="AW89" t="s">
        <v>9</v>
      </c>
      <c r="AX89" t="s">
        <v>9</v>
      </c>
      <c r="AY89" t="s">
        <v>9</v>
      </c>
      <c r="AZ89" t="s">
        <v>9</v>
      </c>
      <c r="BA89" t="s">
        <v>9</v>
      </c>
      <c r="BB89" t="s">
        <v>9</v>
      </c>
      <c r="BC89" t="s">
        <v>9</v>
      </c>
      <c r="BD89" t="s">
        <v>9</v>
      </c>
      <c r="BE89" t="s">
        <v>9</v>
      </c>
    </row>
    <row r="90" spans="1:70">
      <c r="A90" s="169" t="s">
        <v>266</v>
      </c>
      <c r="B90" s="169" t="s">
        <v>52</v>
      </c>
      <c r="C90" s="169">
        <v>2</v>
      </c>
      <c r="D90" s="170" t="s">
        <v>591</v>
      </c>
      <c r="E90" s="171" t="str">
        <f>IF(COUNTIF(Measure_62443_3_3[[#This Row],[G 0.13 Interception of Compromising Interference Signals]:[IND.3.2.3 Insufficient regulations for the use of OT remote maintenance access]],"P")&gt;0,"X","")</f>
        <v/>
      </c>
      <c r="F90" s="171" t="str">
        <f>IF(OR(Measure_62443_3_3[[#This Row],[Requirement Selected (Prefulfilled)]]="X",Measure_62443_3_3[[#This Row],[Relevance revoked]]="Yes"),"X","")</f>
        <v/>
      </c>
      <c r="G90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0" s="171" t="str">
        <f>IF(OR(Measure_62443_3_3[[#This Row],[Requirement Selected (Prefulfilled + Mitigating)]]="X",Measure_62443_3_3[[#This Row],[Relevance revoked]]="Yes"),"X","")</f>
        <v/>
      </c>
      <c r="I90" s="172" t="str">
        <f>IF(VLOOKUP(Measure_62443_3_3[[#This Row],[FR]],'SL-T'!$A$5:$B$11,2,FALSE)&gt;=Measure_62443_3_3[[#This Row],[lowest SL-T]],"X","")</f>
        <v>X</v>
      </c>
      <c r="J90" s="173" t="s">
        <v>91</v>
      </c>
      <c r="K90" s="174"/>
      <c r="L90" t="s">
        <v>9</v>
      </c>
      <c r="M90" t="s">
        <v>9</v>
      </c>
      <c r="N90" t="s">
        <v>9</v>
      </c>
      <c r="O90" t="s">
        <v>9</v>
      </c>
      <c r="P90" t="s">
        <v>9</v>
      </c>
      <c r="Q90" t="s">
        <v>9</v>
      </c>
      <c r="R90" t="s">
        <v>9</v>
      </c>
      <c r="S90" t="s">
        <v>9</v>
      </c>
      <c r="T90" t="s">
        <v>9</v>
      </c>
      <c r="U90" t="s">
        <v>9</v>
      </c>
      <c r="V90" t="s">
        <v>9</v>
      </c>
      <c r="W90" t="s">
        <v>9</v>
      </c>
      <c r="X90" t="s">
        <v>9</v>
      </c>
      <c r="Y90" t="s">
        <v>9</v>
      </c>
      <c r="Z90" t="s">
        <v>9</v>
      </c>
      <c r="AA90" t="s">
        <v>9</v>
      </c>
      <c r="AB90" t="s">
        <v>9</v>
      </c>
      <c r="AC90" t="s">
        <v>9</v>
      </c>
      <c r="AD90" t="s">
        <v>9</v>
      </c>
      <c r="AE90" t="s">
        <v>9</v>
      </c>
      <c r="AF90" t="s">
        <v>9</v>
      </c>
      <c r="AG90" t="s">
        <v>9</v>
      </c>
      <c r="AH90" t="s">
        <v>9</v>
      </c>
      <c r="AI90" t="s">
        <v>9</v>
      </c>
      <c r="AJ90" t="s">
        <v>9</v>
      </c>
      <c r="AK90" t="s">
        <v>9</v>
      </c>
      <c r="AL90" t="s">
        <v>9</v>
      </c>
      <c r="AM90" t="s">
        <v>9</v>
      </c>
      <c r="AN90" t="s">
        <v>9</v>
      </c>
      <c r="AO90" t="s">
        <v>9</v>
      </c>
      <c r="AP90" t="s">
        <v>9</v>
      </c>
      <c r="AQ90" t="s">
        <v>9</v>
      </c>
      <c r="AR90" t="s">
        <v>9</v>
      </c>
      <c r="AS90" t="s">
        <v>9</v>
      </c>
      <c r="AT90" t="s">
        <v>9</v>
      </c>
      <c r="AU90" t="s">
        <v>9</v>
      </c>
      <c r="AV90" t="s">
        <v>9</v>
      </c>
      <c r="AW90" t="s">
        <v>9</v>
      </c>
      <c r="AX90" t="s">
        <v>9</v>
      </c>
      <c r="AY90" t="s">
        <v>9</v>
      </c>
      <c r="AZ90" t="s">
        <v>9</v>
      </c>
      <c r="BA90" t="s">
        <v>9</v>
      </c>
      <c r="BB90" t="s">
        <v>9</v>
      </c>
      <c r="BC90" t="s">
        <v>9</v>
      </c>
      <c r="BD90" t="s">
        <v>9</v>
      </c>
      <c r="BE90" t="s">
        <v>9</v>
      </c>
    </row>
    <row r="91" spans="1:70">
      <c r="A91" s="169" t="s">
        <v>267</v>
      </c>
      <c r="B91" s="169" t="s">
        <v>53</v>
      </c>
      <c r="C91" s="169">
        <v>1</v>
      </c>
      <c r="D91" s="170" t="s">
        <v>591</v>
      </c>
      <c r="E91" s="171" t="str">
        <f>IF(COUNTIF(Measure_62443_3_3[[#This Row],[G 0.13 Interception of Compromising Interference Signals]:[IND.3.2.3 Insufficient regulations for the use of OT remote maintenance access]],"P")&gt;0,"X","")</f>
        <v/>
      </c>
      <c r="F91" s="171" t="str">
        <f>IF(OR(Measure_62443_3_3[[#This Row],[Requirement Selected (Prefulfilled)]]="X",Measure_62443_3_3[[#This Row],[Relevance revoked]]="Yes"),"X","")</f>
        <v/>
      </c>
      <c r="G91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1" s="171" t="str">
        <f>IF(OR(Measure_62443_3_3[[#This Row],[Requirement Selected (Prefulfilled + Mitigating)]]="X",Measure_62443_3_3[[#This Row],[Relevance revoked]]="Yes"),"X","")</f>
        <v/>
      </c>
      <c r="I91" s="172" t="str">
        <f>IF(VLOOKUP(Measure_62443_3_3[[#This Row],[FR]],'SL-T'!$A$5:$B$11,2,FALSE)&gt;=Measure_62443_3_3[[#This Row],[lowest SL-T]],"X","")</f>
        <v>X</v>
      </c>
      <c r="J91" s="173" t="s">
        <v>91</v>
      </c>
      <c r="K91" s="174"/>
      <c r="L91" t="s">
        <v>9</v>
      </c>
      <c r="M91" t="s">
        <v>9</v>
      </c>
      <c r="N91" t="s">
        <v>9</v>
      </c>
      <c r="O91" t="s">
        <v>9</v>
      </c>
      <c r="P91" t="s">
        <v>9</v>
      </c>
      <c r="Q91" t="s">
        <v>9</v>
      </c>
      <c r="R91" t="s">
        <v>9</v>
      </c>
      <c r="S91" t="s">
        <v>9</v>
      </c>
      <c r="T91" t="s">
        <v>9</v>
      </c>
      <c r="U91" t="s">
        <v>9</v>
      </c>
      <c r="V91" t="s">
        <v>9</v>
      </c>
      <c r="W91" t="s">
        <v>9</v>
      </c>
      <c r="X91" t="s">
        <v>9</v>
      </c>
      <c r="Y91" t="s">
        <v>9</v>
      </c>
      <c r="Z91" t="s">
        <v>9</v>
      </c>
      <c r="AA91" t="s">
        <v>9</v>
      </c>
      <c r="AB91" t="s">
        <v>9</v>
      </c>
      <c r="AC91" t="s">
        <v>9</v>
      </c>
      <c r="AD91" t="s">
        <v>9</v>
      </c>
      <c r="AE91" t="s">
        <v>9</v>
      </c>
      <c r="AF91" t="s">
        <v>9</v>
      </c>
      <c r="AG91" t="s">
        <v>9</v>
      </c>
      <c r="AH91" t="s">
        <v>9</v>
      </c>
      <c r="AI91" t="s">
        <v>9</v>
      </c>
      <c r="AJ91" t="s">
        <v>9</v>
      </c>
      <c r="AK91" t="s">
        <v>9</v>
      </c>
      <c r="AL91" t="s">
        <v>9</v>
      </c>
      <c r="AM91" t="s">
        <v>9</v>
      </c>
      <c r="AN91" t="s">
        <v>9</v>
      </c>
      <c r="AO91" t="s">
        <v>9</v>
      </c>
      <c r="AP91" t="s">
        <v>9</v>
      </c>
      <c r="AQ91" t="s">
        <v>9</v>
      </c>
      <c r="AR91" t="s">
        <v>9</v>
      </c>
      <c r="AS91" t="s">
        <v>9</v>
      </c>
      <c r="AT91" t="s">
        <v>9</v>
      </c>
      <c r="AU91" t="s">
        <v>9</v>
      </c>
      <c r="AV91" t="s">
        <v>9</v>
      </c>
      <c r="AW91" t="s">
        <v>9</v>
      </c>
      <c r="AX91" t="s">
        <v>9</v>
      </c>
      <c r="AY91" t="s">
        <v>9</v>
      </c>
      <c r="AZ91" t="s">
        <v>9</v>
      </c>
      <c r="BA91" t="s">
        <v>9</v>
      </c>
      <c r="BB91" t="s">
        <v>9</v>
      </c>
      <c r="BC91" t="s">
        <v>9</v>
      </c>
      <c r="BD91" t="s">
        <v>9</v>
      </c>
      <c r="BE91" t="s">
        <v>9</v>
      </c>
      <c r="BF91" t="s">
        <v>9</v>
      </c>
      <c r="BG91" t="s">
        <v>9</v>
      </c>
      <c r="BH91" t="s">
        <v>9</v>
      </c>
      <c r="BI91" t="s">
        <v>9</v>
      </c>
      <c r="BJ91" t="s">
        <v>9</v>
      </c>
      <c r="BK91" t="s">
        <v>9</v>
      </c>
      <c r="BL91" t="s">
        <v>9</v>
      </c>
      <c r="BM91" t="s">
        <v>9</v>
      </c>
      <c r="BN91" t="s">
        <v>9</v>
      </c>
      <c r="BO91" t="s">
        <v>9</v>
      </c>
      <c r="BP91" t="s">
        <v>9</v>
      </c>
      <c r="BQ91" t="s">
        <v>9</v>
      </c>
      <c r="BR91" t="s">
        <v>9</v>
      </c>
    </row>
    <row r="92" spans="1:70">
      <c r="A92" s="169" t="s">
        <v>268</v>
      </c>
      <c r="B92" s="169" t="s">
        <v>53</v>
      </c>
      <c r="C92" s="169">
        <v>2</v>
      </c>
      <c r="D92" s="170" t="s">
        <v>591</v>
      </c>
      <c r="E92" s="171" t="str">
        <f>IF(COUNTIF(Measure_62443_3_3[[#This Row],[G 0.13 Interception of Compromising Interference Signals]:[IND.3.2.3 Insufficient regulations for the use of OT remote maintenance access]],"P")&gt;0,"X","")</f>
        <v/>
      </c>
      <c r="F92" s="171" t="str">
        <f>IF(OR(Measure_62443_3_3[[#This Row],[Requirement Selected (Prefulfilled)]]="X",Measure_62443_3_3[[#This Row],[Relevance revoked]]="Yes"),"X","")</f>
        <v/>
      </c>
      <c r="G92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2" s="171" t="str">
        <f>IF(OR(Measure_62443_3_3[[#This Row],[Requirement Selected (Prefulfilled + Mitigating)]]="X",Measure_62443_3_3[[#This Row],[Relevance revoked]]="Yes"),"X","")</f>
        <v/>
      </c>
      <c r="I92" s="172" t="str">
        <f>IF(VLOOKUP(Measure_62443_3_3[[#This Row],[FR]],'SL-T'!$A$5:$B$11,2,FALSE)&gt;=Measure_62443_3_3[[#This Row],[lowest SL-T]],"X","")</f>
        <v>X</v>
      </c>
      <c r="J92" s="173" t="s">
        <v>91</v>
      </c>
      <c r="K92" s="174"/>
      <c r="L92" t="s">
        <v>9</v>
      </c>
      <c r="M92" t="s">
        <v>9</v>
      </c>
      <c r="N92" t="s">
        <v>9</v>
      </c>
      <c r="O92" t="s">
        <v>9</v>
      </c>
      <c r="P92" t="s">
        <v>9</v>
      </c>
      <c r="Q92" t="s">
        <v>9</v>
      </c>
      <c r="R92" t="s">
        <v>9</v>
      </c>
      <c r="S92" t="s">
        <v>9</v>
      </c>
      <c r="T92" t="s">
        <v>9</v>
      </c>
      <c r="U92" t="s">
        <v>9</v>
      </c>
      <c r="V92" t="s">
        <v>9</v>
      </c>
      <c r="W92" t="s">
        <v>9</v>
      </c>
      <c r="X92" t="s">
        <v>9</v>
      </c>
      <c r="Y92" t="s">
        <v>9</v>
      </c>
      <c r="Z92" t="s">
        <v>9</v>
      </c>
      <c r="AA92" t="s">
        <v>9</v>
      </c>
      <c r="AB92" t="s">
        <v>9</v>
      </c>
      <c r="AC92" t="s">
        <v>9</v>
      </c>
      <c r="AD92" t="s">
        <v>9</v>
      </c>
      <c r="AE92" t="s">
        <v>9</v>
      </c>
      <c r="AF92" t="s">
        <v>9</v>
      </c>
      <c r="AG92" t="s">
        <v>9</v>
      </c>
      <c r="AH92" t="s">
        <v>9</v>
      </c>
      <c r="AI92" t="s">
        <v>9</v>
      </c>
      <c r="AJ92" t="s">
        <v>9</v>
      </c>
      <c r="AK92" t="s">
        <v>9</v>
      </c>
      <c r="AL92" t="s">
        <v>9</v>
      </c>
      <c r="AM92" t="s">
        <v>9</v>
      </c>
      <c r="AN92" t="s">
        <v>9</v>
      </c>
      <c r="AO92" t="s">
        <v>9</v>
      </c>
      <c r="AP92" t="s">
        <v>9</v>
      </c>
      <c r="AQ92" t="s">
        <v>9</v>
      </c>
      <c r="AR92" t="s">
        <v>9</v>
      </c>
      <c r="AS92" t="s">
        <v>9</v>
      </c>
      <c r="AT92" t="s">
        <v>9</v>
      </c>
      <c r="AU92" t="s">
        <v>9</v>
      </c>
      <c r="AV92" t="s">
        <v>9</v>
      </c>
      <c r="AW92" t="s">
        <v>9</v>
      </c>
      <c r="AX92" t="s">
        <v>9</v>
      </c>
      <c r="AY92" t="s">
        <v>9</v>
      </c>
      <c r="AZ92" t="s">
        <v>9</v>
      </c>
      <c r="BA92" t="s">
        <v>9</v>
      </c>
      <c r="BB92" t="s">
        <v>9</v>
      </c>
      <c r="BC92" t="s">
        <v>9</v>
      </c>
      <c r="BD92" t="s">
        <v>9</v>
      </c>
      <c r="BE92" t="s">
        <v>9</v>
      </c>
    </row>
    <row r="93" spans="1:70" hidden="1">
      <c r="A93" s="169" t="s">
        <v>269</v>
      </c>
      <c r="B93" s="169" t="s">
        <v>53</v>
      </c>
      <c r="C93" s="169">
        <v>3</v>
      </c>
      <c r="D93" s="170" t="s">
        <v>591</v>
      </c>
      <c r="E93" s="171" t="str">
        <f>IF(COUNTIF(Measure_62443_3_3[[#This Row],[G 0.13 Interception of Compromising Interference Signals]:[IND.3.2.3 Insufficient regulations for the use of OT remote maintenance access]],"P")&gt;0,"X","")</f>
        <v/>
      </c>
      <c r="F93" s="171" t="str">
        <f>IF(OR(Measure_62443_3_3[[#This Row],[Requirement Selected (Prefulfilled)]]="X",Measure_62443_3_3[[#This Row],[Relevance revoked]]="Yes"),"X","")</f>
        <v/>
      </c>
      <c r="G93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3" s="171" t="str">
        <f>IF(OR(Measure_62443_3_3[[#This Row],[Requirement Selected (Prefulfilled + Mitigating)]]="X",Measure_62443_3_3[[#This Row],[Relevance revoked]]="Yes"),"X","")</f>
        <v/>
      </c>
      <c r="I93" s="172" t="str">
        <f>IF(VLOOKUP(Measure_62443_3_3[[#This Row],[FR]],'SL-T'!$A$5:$B$11,2,FALSE)&gt;=Measure_62443_3_3[[#This Row],[lowest SL-T]],"X","")</f>
        <v/>
      </c>
      <c r="J93" s="173" t="s">
        <v>91</v>
      </c>
      <c r="K93" s="174"/>
      <c r="L93" t="s">
        <v>9</v>
      </c>
      <c r="M93" t="s">
        <v>9</v>
      </c>
      <c r="N93" t="s">
        <v>9</v>
      </c>
      <c r="O93" t="s">
        <v>9</v>
      </c>
      <c r="P93" t="s">
        <v>9</v>
      </c>
      <c r="Q93" t="s">
        <v>9</v>
      </c>
      <c r="R93" t="s">
        <v>9</v>
      </c>
      <c r="S93" t="s">
        <v>9</v>
      </c>
      <c r="T93" t="s">
        <v>9</v>
      </c>
      <c r="U93" t="s">
        <v>9</v>
      </c>
      <c r="V93" t="s">
        <v>9</v>
      </c>
      <c r="W93" t="s">
        <v>9</v>
      </c>
      <c r="X93" t="s">
        <v>9</v>
      </c>
      <c r="Y93" t="s">
        <v>9</v>
      </c>
      <c r="Z93" t="s">
        <v>9</v>
      </c>
      <c r="AA93" t="s">
        <v>9</v>
      </c>
      <c r="AB93" t="s">
        <v>9</v>
      </c>
      <c r="AC93" t="s">
        <v>9</v>
      </c>
      <c r="AD93" t="s">
        <v>9</v>
      </c>
      <c r="AE93" t="s">
        <v>9</v>
      </c>
      <c r="AF93" t="s">
        <v>9</v>
      </c>
      <c r="AG93" t="s">
        <v>9</v>
      </c>
      <c r="AH93" t="s">
        <v>9</v>
      </c>
      <c r="AI93" t="s">
        <v>9</v>
      </c>
      <c r="AJ93" t="s">
        <v>9</v>
      </c>
      <c r="AK93" t="s">
        <v>9</v>
      </c>
      <c r="AL93" t="s">
        <v>9</v>
      </c>
      <c r="AM93" t="s">
        <v>9</v>
      </c>
      <c r="AN93" t="s">
        <v>9</v>
      </c>
      <c r="AO93" t="s">
        <v>9</v>
      </c>
      <c r="AP93" t="s">
        <v>9</v>
      </c>
      <c r="AQ93" t="s">
        <v>9</v>
      </c>
      <c r="AR93" t="s">
        <v>9</v>
      </c>
      <c r="AS93" t="s">
        <v>9</v>
      </c>
      <c r="AT93" t="s">
        <v>9</v>
      </c>
      <c r="AU93" t="s">
        <v>9</v>
      </c>
      <c r="AV93" t="s">
        <v>9</v>
      </c>
      <c r="AW93" t="s">
        <v>9</v>
      </c>
      <c r="AX93" t="s">
        <v>9</v>
      </c>
      <c r="AY93" t="s">
        <v>9</v>
      </c>
      <c r="AZ93" t="s">
        <v>9</v>
      </c>
      <c r="BA93" t="s">
        <v>9</v>
      </c>
      <c r="BB93" t="s">
        <v>9</v>
      </c>
      <c r="BC93" t="s">
        <v>9</v>
      </c>
      <c r="BD93" t="s">
        <v>9</v>
      </c>
      <c r="BE93" t="s">
        <v>9</v>
      </c>
    </row>
    <row r="94" spans="1:70">
      <c r="A94" s="169" t="s">
        <v>270</v>
      </c>
      <c r="B94" s="169" t="s">
        <v>53</v>
      </c>
      <c r="C94" s="169">
        <v>1</v>
      </c>
      <c r="D94" s="170" t="s">
        <v>591</v>
      </c>
      <c r="E94" s="171" t="str">
        <f>IF(COUNTIF(Measure_62443_3_3[[#This Row],[G 0.13 Interception of Compromising Interference Signals]:[IND.3.2.3 Insufficient regulations for the use of OT remote maintenance access]],"P")&gt;0,"X","")</f>
        <v/>
      </c>
      <c r="F94" s="171" t="str">
        <f>IF(OR(Measure_62443_3_3[[#This Row],[Requirement Selected (Prefulfilled)]]="X",Measure_62443_3_3[[#This Row],[Relevance revoked]]="Yes"),"X","")</f>
        <v/>
      </c>
      <c r="G94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4" s="171" t="str">
        <f>IF(OR(Measure_62443_3_3[[#This Row],[Requirement Selected (Prefulfilled + Mitigating)]]="X",Measure_62443_3_3[[#This Row],[Relevance revoked]]="Yes"),"X","")</f>
        <v/>
      </c>
      <c r="I94" s="172" t="str">
        <f>IF(VLOOKUP(Measure_62443_3_3[[#This Row],[FR]],'SL-T'!$A$5:$B$11,2,FALSE)&gt;=Measure_62443_3_3[[#This Row],[lowest SL-T]],"X","")</f>
        <v>X</v>
      </c>
      <c r="J94" s="173" t="s">
        <v>91</v>
      </c>
      <c r="K94" s="174"/>
      <c r="L94" t="s">
        <v>9</v>
      </c>
      <c r="M94" t="s">
        <v>9</v>
      </c>
      <c r="N94" t="s">
        <v>9</v>
      </c>
      <c r="O94" t="s">
        <v>9</v>
      </c>
      <c r="P94" t="s">
        <v>9</v>
      </c>
      <c r="Q94" t="s">
        <v>9</v>
      </c>
      <c r="R94" t="s">
        <v>9</v>
      </c>
      <c r="S94" t="s">
        <v>9</v>
      </c>
      <c r="T94" t="s">
        <v>9</v>
      </c>
      <c r="U94" t="s">
        <v>9</v>
      </c>
      <c r="V94" t="s">
        <v>9</v>
      </c>
      <c r="W94" t="s">
        <v>9</v>
      </c>
      <c r="X94" t="s">
        <v>9</v>
      </c>
      <c r="Y94" t="s">
        <v>9</v>
      </c>
      <c r="Z94" t="s">
        <v>9</v>
      </c>
      <c r="AA94" t="s">
        <v>9</v>
      </c>
      <c r="AB94" t="s">
        <v>9</v>
      </c>
      <c r="AC94" t="s">
        <v>9</v>
      </c>
      <c r="AD94" t="s">
        <v>9</v>
      </c>
      <c r="AE94" t="s">
        <v>9</v>
      </c>
      <c r="AF94" t="s">
        <v>9</v>
      </c>
      <c r="AG94" t="s">
        <v>9</v>
      </c>
      <c r="AH94" t="s">
        <v>9</v>
      </c>
      <c r="AI94" t="s">
        <v>9</v>
      </c>
      <c r="AJ94" t="s">
        <v>9</v>
      </c>
      <c r="AK94" t="s">
        <v>9</v>
      </c>
      <c r="AL94" t="s">
        <v>9</v>
      </c>
      <c r="AM94" t="s">
        <v>9</v>
      </c>
      <c r="AN94" t="s">
        <v>9</v>
      </c>
      <c r="AO94" t="s">
        <v>9</v>
      </c>
      <c r="AP94" t="s">
        <v>9</v>
      </c>
      <c r="AQ94" t="s">
        <v>9</v>
      </c>
      <c r="AR94" t="s">
        <v>9</v>
      </c>
      <c r="AS94" t="s">
        <v>9</v>
      </c>
      <c r="AT94" t="s">
        <v>9</v>
      </c>
      <c r="AU94" t="s">
        <v>9</v>
      </c>
      <c r="AV94" t="s">
        <v>9</v>
      </c>
      <c r="AW94" t="s">
        <v>9</v>
      </c>
      <c r="AX94" t="s">
        <v>9</v>
      </c>
      <c r="AY94" t="s">
        <v>9</v>
      </c>
      <c r="AZ94" t="s">
        <v>9</v>
      </c>
      <c r="BA94" t="s">
        <v>9</v>
      </c>
      <c r="BB94" t="s">
        <v>9</v>
      </c>
      <c r="BC94" t="s">
        <v>9</v>
      </c>
      <c r="BD94" t="s">
        <v>9</v>
      </c>
      <c r="BE94" t="s">
        <v>9</v>
      </c>
      <c r="BF94" t="s">
        <v>9</v>
      </c>
      <c r="BG94" t="s">
        <v>9</v>
      </c>
      <c r="BH94" t="s">
        <v>9</v>
      </c>
      <c r="BI94" t="s">
        <v>9</v>
      </c>
      <c r="BJ94" t="s">
        <v>9</v>
      </c>
      <c r="BK94" t="s">
        <v>9</v>
      </c>
      <c r="BL94" t="s">
        <v>9</v>
      </c>
      <c r="BM94" t="s">
        <v>9</v>
      </c>
      <c r="BN94" t="s">
        <v>9</v>
      </c>
      <c r="BO94" t="s">
        <v>9</v>
      </c>
      <c r="BP94" t="s">
        <v>9</v>
      </c>
      <c r="BQ94" t="s">
        <v>9</v>
      </c>
      <c r="BR94" t="s">
        <v>9</v>
      </c>
    </row>
    <row r="95" spans="1:70">
      <c r="A95" s="169" t="s">
        <v>271</v>
      </c>
      <c r="B95" s="169" t="s">
        <v>53</v>
      </c>
      <c r="C95" s="169">
        <v>1</v>
      </c>
      <c r="D95" s="170" t="s">
        <v>591</v>
      </c>
      <c r="E95" s="171" t="str">
        <f>IF(COUNTIF(Measure_62443_3_3[[#This Row],[G 0.13 Interception of Compromising Interference Signals]:[IND.3.2.3 Insufficient regulations for the use of OT remote maintenance access]],"P")&gt;0,"X","")</f>
        <v/>
      </c>
      <c r="F95" s="171" t="str">
        <f>IF(OR(Measure_62443_3_3[[#This Row],[Requirement Selected (Prefulfilled)]]="X",Measure_62443_3_3[[#This Row],[Relevance revoked]]="Yes"),"X","")</f>
        <v/>
      </c>
      <c r="G95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5" s="171" t="str">
        <f>IF(OR(Measure_62443_3_3[[#This Row],[Requirement Selected (Prefulfilled + Mitigating)]]="X",Measure_62443_3_3[[#This Row],[Relevance revoked]]="Yes"),"X","")</f>
        <v/>
      </c>
      <c r="I95" s="172" t="str">
        <f>IF(VLOOKUP(Measure_62443_3_3[[#This Row],[FR]],'SL-T'!$A$5:$B$11,2,FALSE)&gt;=Measure_62443_3_3[[#This Row],[lowest SL-T]],"X","")</f>
        <v>X</v>
      </c>
      <c r="J95" s="173" t="s">
        <v>91</v>
      </c>
      <c r="K95" s="174"/>
      <c r="L95" t="s">
        <v>9</v>
      </c>
      <c r="M95" t="s">
        <v>9</v>
      </c>
      <c r="N95" t="s">
        <v>9</v>
      </c>
      <c r="O95" t="s">
        <v>9</v>
      </c>
      <c r="P95" t="s">
        <v>9</v>
      </c>
      <c r="Q95" t="s">
        <v>9</v>
      </c>
      <c r="R95" t="s">
        <v>9</v>
      </c>
      <c r="S95" t="s">
        <v>9</v>
      </c>
      <c r="T95" t="s">
        <v>9</v>
      </c>
      <c r="U95" t="s">
        <v>9</v>
      </c>
      <c r="V95" t="s">
        <v>9</v>
      </c>
      <c r="W95" t="s">
        <v>9</v>
      </c>
      <c r="X95" t="s">
        <v>9</v>
      </c>
      <c r="Y95" t="s">
        <v>9</v>
      </c>
      <c r="Z95" t="s">
        <v>9</v>
      </c>
      <c r="AA95" t="s">
        <v>9</v>
      </c>
      <c r="AB95" t="s">
        <v>9</v>
      </c>
      <c r="AC95" t="s">
        <v>9</v>
      </c>
      <c r="AD95" t="s">
        <v>9</v>
      </c>
      <c r="AE95" t="s">
        <v>9</v>
      </c>
      <c r="AF95" t="s">
        <v>9</v>
      </c>
      <c r="AG95" t="s">
        <v>9</v>
      </c>
      <c r="AH95" t="s">
        <v>9</v>
      </c>
      <c r="AI95" t="s">
        <v>9</v>
      </c>
      <c r="AJ95" t="s">
        <v>9</v>
      </c>
      <c r="AK95" t="s">
        <v>9</v>
      </c>
      <c r="AL95" t="s">
        <v>9</v>
      </c>
      <c r="AM95" t="s">
        <v>9</v>
      </c>
      <c r="AN95" t="s">
        <v>9</v>
      </c>
      <c r="AO95" t="s">
        <v>9</v>
      </c>
      <c r="AP95" t="s">
        <v>9</v>
      </c>
      <c r="AQ95" t="s">
        <v>9</v>
      </c>
      <c r="AR95" t="s">
        <v>9</v>
      </c>
      <c r="AS95" t="s">
        <v>9</v>
      </c>
      <c r="AT95" t="s">
        <v>9</v>
      </c>
      <c r="AU95" t="s">
        <v>9</v>
      </c>
      <c r="AV95" t="s">
        <v>9</v>
      </c>
      <c r="AW95" t="s">
        <v>9</v>
      </c>
      <c r="AX95" t="s">
        <v>9</v>
      </c>
      <c r="AY95" t="s">
        <v>9</v>
      </c>
      <c r="AZ95" t="s">
        <v>9</v>
      </c>
      <c r="BA95" t="s">
        <v>9</v>
      </c>
      <c r="BB95" t="s">
        <v>9</v>
      </c>
      <c r="BC95" t="s">
        <v>9</v>
      </c>
      <c r="BD95" t="s">
        <v>9</v>
      </c>
      <c r="BE95" t="s">
        <v>9</v>
      </c>
      <c r="BF95" t="s">
        <v>9</v>
      </c>
      <c r="BG95" t="s">
        <v>9</v>
      </c>
      <c r="BH95" t="s">
        <v>9</v>
      </c>
      <c r="BI95" t="s">
        <v>9</v>
      </c>
      <c r="BJ95" t="s">
        <v>9</v>
      </c>
      <c r="BK95" t="s">
        <v>9</v>
      </c>
      <c r="BL95" t="s">
        <v>9</v>
      </c>
      <c r="BM95" t="s">
        <v>9</v>
      </c>
      <c r="BN95" t="s">
        <v>9</v>
      </c>
      <c r="BO95" t="s">
        <v>9</v>
      </c>
      <c r="BP95" t="s">
        <v>9</v>
      </c>
      <c r="BQ95" t="s">
        <v>9</v>
      </c>
      <c r="BR95" t="s">
        <v>9</v>
      </c>
    </row>
    <row r="96" spans="1:70">
      <c r="A96" s="169" t="s">
        <v>272</v>
      </c>
      <c r="B96" s="169" t="s">
        <v>53</v>
      </c>
      <c r="C96" s="169">
        <v>2</v>
      </c>
      <c r="D96" s="170" t="s">
        <v>591</v>
      </c>
      <c r="E96" s="171" t="str">
        <f>IF(COUNTIF(Measure_62443_3_3[[#This Row],[G 0.13 Interception of Compromising Interference Signals]:[IND.3.2.3 Insufficient regulations for the use of OT remote maintenance access]],"P")&gt;0,"X","")</f>
        <v/>
      </c>
      <c r="F96" s="171" t="str">
        <f>IF(OR(Measure_62443_3_3[[#This Row],[Requirement Selected (Prefulfilled)]]="X",Measure_62443_3_3[[#This Row],[Relevance revoked]]="Yes"),"X","")</f>
        <v/>
      </c>
      <c r="G96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6" s="171" t="str">
        <f>IF(OR(Measure_62443_3_3[[#This Row],[Requirement Selected (Prefulfilled + Mitigating)]]="X",Measure_62443_3_3[[#This Row],[Relevance revoked]]="Yes"),"X","")</f>
        <v/>
      </c>
      <c r="I96" s="172" t="str">
        <f>IF(VLOOKUP(Measure_62443_3_3[[#This Row],[FR]],'SL-T'!$A$5:$B$11,2,FALSE)&gt;=Measure_62443_3_3[[#This Row],[lowest SL-T]],"X","")</f>
        <v>X</v>
      </c>
      <c r="J96" s="173" t="s">
        <v>91</v>
      </c>
      <c r="K96" s="174"/>
      <c r="L96" t="s">
        <v>9</v>
      </c>
      <c r="M96" t="s">
        <v>9</v>
      </c>
      <c r="N96" t="s">
        <v>9</v>
      </c>
      <c r="O96" t="s">
        <v>9</v>
      </c>
      <c r="P96" t="s">
        <v>9</v>
      </c>
      <c r="Q96" t="s">
        <v>9</v>
      </c>
      <c r="R96" t="s">
        <v>9</v>
      </c>
      <c r="S96" t="s">
        <v>9</v>
      </c>
      <c r="T96" t="s">
        <v>9</v>
      </c>
      <c r="U96" t="s">
        <v>9</v>
      </c>
      <c r="V96" t="s">
        <v>9</v>
      </c>
      <c r="W96" t="s">
        <v>9</v>
      </c>
      <c r="X96" t="s">
        <v>9</v>
      </c>
      <c r="Y96" t="s">
        <v>9</v>
      </c>
      <c r="Z96" t="s">
        <v>9</v>
      </c>
      <c r="AA96" t="s">
        <v>9</v>
      </c>
      <c r="AB96" t="s">
        <v>9</v>
      </c>
      <c r="AC96" t="s">
        <v>9</v>
      </c>
      <c r="AD96" t="s">
        <v>9</v>
      </c>
      <c r="AE96" t="s">
        <v>9</v>
      </c>
      <c r="AF96" t="s">
        <v>9</v>
      </c>
      <c r="AG96" t="s">
        <v>9</v>
      </c>
      <c r="AH96" t="s">
        <v>9</v>
      </c>
      <c r="AI96" t="s">
        <v>9</v>
      </c>
      <c r="AJ96" t="s">
        <v>9</v>
      </c>
      <c r="AK96" t="s">
        <v>9</v>
      </c>
      <c r="AL96" t="s">
        <v>9</v>
      </c>
      <c r="AM96" t="s">
        <v>9</v>
      </c>
      <c r="AN96" t="s">
        <v>9</v>
      </c>
      <c r="AO96" t="s">
        <v>9</v>
      </c>
      <c r="AP96" t="s">
        <v>9</v>
      </c>
      <c r="AQ96" t="s">
        <v>9</v>
      </c>
      <c r="AR96" t="s">
        <v>9</v>
      </c>
      <c r="AS96" t="s">
        <v>9</v>
      </c>
      <c r="AT96" t="s">
        <v>9</v>
      </c>
      <c r="AU96" t="s">
        <v>9</v>
      </c>
      <c r="AV96" t="s">
        <v>9</v>
      </c>
      <c r="AW96" t="s">
        <v>9</v>
      </c>
      <c r="AX96" t="s">
        <v>9</v>
      </c>
      <c r="AY96" t="s">
        <v>9</v>
      </c>
      <c r="AZ96" t="s">
        <v>9</v>
      </c>
      <c r="BA96" t="s">
        <v>9</v>
      </c>
      <c r="BB96" t="s">
        <v>9</v>
      </c>
      <c r="BC96" t="s">
        <v>9</v>
      </c>
      <c r="BD96" t="s">
        <v>9</v>
      </c>
      <c r="BE96" t="s">
        <v>9</v>
      </c>
    </row>
    <row r="97" spans="1:70" hidden="1">
      <c r="A97" s="169" t="s">
        <v>273</v>
      </c>
      <c r="B97" s="169" t="s">
        <v>53</v>
      </c>
      <c r="C97" s="169">
        <v>3</v>
      </c>
      <c r="D97" s="170" t="s">
        <v>591</v>
      </c>
      <c r="E97" s="171" t="str">
        <f>IF(COUNTIF(Measure_62443_3_3[[#This Row],[G 0.13 Interception of Compromising Interference Signals]:[IND.3.2.3 Insufficient regulations for the use of OT remote maintenance access]],"P")&gt;0,"X","")</f>
        <v/>
      </c>
      <c r="F97" s="171" t="str">
        <f>IF(OR(Measure_62443_3_3[[#This Row],[Requirement Selected (Prefulfilled)]]="X",Measure_62443_3_3[[#This Row],[Relevance revoked]]="Yes"),"X","")</f>
        <v/>
      </c>
      <c r="G97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7" s="171" t="str">
        <f>IF(OR(Measure_62443_3_3[[#This Row],[Requirement Selected (Prefulfilled + Mitigating)]]="X",Measure_62443_3_3[[#This Row],[Relevance revoked]]="Yes"),"X","")</f>
        <v/>
      </c>
      <c r="I97" s="172" t="str">
        <f>IF(VLOOKUP(Measure_62443_3_3[[#This Row],[FR]],'SL-T'!$A$5:$B$11,2,FALSE)&gt;=Measure_62443_3_3[[#This Row],[lowest SL-T]],"X","")</f>
        <v/>
      </c>
      <c r="J97" s="173" t="s">
        <v>91</v>
      </c>
      <c r="K97" s="174"/>
      <c r="L97" t="s">
        <v>9</v>
      </c>
      <c r="M97" t="s">
        <v>9</v>
      </c>
      <c r="N97" t="s">
        <v>9</v>
      </c>
      <c r="O97" t="s">
        <v>9</v>
      </c>
      <c r="P97" t="s">
        <v>9</v>
      </c>
      <c r="Q97" t="s">
        <v>9</v>
      </c>
      <c r="R97" t="s">
        <v>9</v>
      </c>
      <c r="S97" t="s">
        <v>9</v>
      </c>
      <c r="T97" t="s">
        <v>9</v>
      </c>
      <c r="U97" t="s">
        <v>9</v>
      </c>
      <c r="V97" t="s">
        <v>9</v>
      </c>
      <c r="W97" t="s">
        <v>9</v>
      </c>
      <c r="X97" t="s">
        <v>9</v>
      </c>
      <c r="Y97" t="s">
        <v>9</v>
      </c>
      <c r="Z97" t="s">
        <v>9</v>
      </c>
      <c r="AA97" t="s">
        <v>9</v>
      </c>
      <c r="AB97" t="s">
        <v>9</v>
      </c>
      <c r="AC97" t="s">
        <v>9</v>
      </c>
      <c r="AD97" t="s">
        <v>9</v>
      </c>
      <c r="AE97" t="s">
        <v>9</v>
      </c>
      <c r="AF97" t="s">
        <v>9</v>
      </c>
      <c r="AG97" t="s">
        <v>9</v>
      </c>
      <c r="AH97" t="s">
        <v>9</v>
      </c>
      <c r="AI97" t="s">
        <v>9</v>
      </c>
      <c r="AJ97" t="s">
        <v>9</v>
      </c>
      <c r="AK97" t="s">
        <v>9</v>
      </c>
      <c r="AL97" t="s">
        <v>9</v>
      </c>
      <c r="AM97" t="s">
        <v>9</v>
      </c>
      <c r="AN97" t="s">
        <v>9</v>
      </c>
      <c r="AO97" t="s">
        <v>9</v>
      </c>
      <c r="AP97" t="s">
        <v>9</v>
      </c>
      <c r="AQ97" t="s">
        <v>9</v>
      </c>
      <c r="AR97" t="s">
        <v>9</v>
      </c>
      <c r="AS97" t="s">
        <v>9</v>
      </c>
      <c r="AT97" t="s">
        <v>9</v>
      </c>
      <c r="AU97" t="s">
        <v>9</v>
      </c>
      <c r="AV97" t="s">
        <v>9</v>
      </c>
      <c r="AW97" t="s">
        <v>9</v>
      </c>
      <c r="AX97" t="s">
        <v>9</v>
      </c>
      <c r="AY97" t="s">
        <v>9</v>
      </c>
      <c r="AZ97" t="s">
        <v>9</v>
      </c>
      <c r="BA97" t="s">
        <v>9</v>
      </c>
      <c r="BB97" t="s">
        <v>9</v>
      </c>
      <c r="BC97" t="s">
        <v>9</v>
      </c>
      <c r="BD97" t="s">
        <v>9</v>
      </c>
      <c r="BE97" t="s">
        <v>9</v>
      </c>
    </row>
    <row r="98" spans="1:70">
      <c r="A98" s="169" t="s">
        <v>274</v>
      </c>
      <c r="B98" s="169" t="s">
        <v>53</v>
      </c>
      <c r="C98" s="169">
        <v>1</v>
      </c>
      <c r="D98" s="170" t="s">
        <v>591</v>
      </c>
      <c r="E98" s="171" t="str">
        <f>IF(COUNTIF(Measure_62443_3_3[[#This Row],[G 0.13 Interception of Compromising Interference Signals]:[IND.3.2.3 Insufficient regulations for the use of OT remote maintenance access]],"P")&gt;0,"X","")</f>
        <v/>
      </c>
      <c r="F98" s="171" t="str">
        <f>IF(OR(Measure_62443_3_3[[#This Row],[Requirement Selected (Prefulfilled)]]="X",Measure_62443_3_3[[#This Row],[Relevance revoked]]="Yes"),"X","")</f>
        <v/>
      </c>
      <c r="G98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8" s="171" t="str">
        <f>IF(OR(Measure_62443_3_3[[#This Row],[Requirement Selected (Prefulfilled + Mitigating)]]="X",Measure_62443_3_3[[#This Row],[Relevance revoked]]="Yes"),"X","")</f>
        <v/>
      </c>
      <c r="I98" s="172" t="str">
        <f>IF(VLOOKUP(Measure_62443_3_3[[#This Row],[FR]],'SL-T'!$A$5:$B$11,2,FALSE)&gt;=Measure_62443_3_3[[#This Row],[lowest SL-T]],"X","")</f>
        <v>X</v>
      </c>
      <c r="J98" s="173" t="s">
        <v>91</v>
      </c>
      <c r="K98" s="174"/>
      <c r="L98" t="s">
        <v>9</v>
      </c>
      <c r="M98" t="s">
        <v>9</v>
      </c>
      <c r="N98" t="s">
        <v>9</v>
      </c>
      <c r="O98" t="s">
        <v>9</v>
      </c>
      <c r="P98" t="s">
        <v>9</v>
      </c>
      <c r="Q98" t="s">
        <v>9</v>
      </c>
      <c r="R98" t="s">
        <v>9</v>
      </c>
      <c r="S98" t="s">
        <v>9</v>
      </c>
      <c r="T98" t="s">
        <v>9</v>
      </c>
      <c r="U98" t="s">
        <v>9</v>
      </c>
      <c r="V98" t="s">
        <v>9</v>
      </c>
      <c r="W98" t="s">
        <v>9</v>
      </c>
      <c r="X98" t="s">
        <v>9</v>
      </c>
      <c r="Y98" t="s">
        <v>9</v>
      </c>
      <c r="Z98" t="s">
        <v>9</v>
      </c>
      <c r="AA98" t="s">
        <v>9</v>
      </c>
      <c r="AB98" t="s">
        <v>9</v>
      </c>
      <c r="AC98" t="s">
        <v>9</v>
      </c>
      <c r="AD98" t="s">
        <v>9</v>
      </c>
      <c r="AE98" t="s">
        <v>9</v>
      </c>
      <c r="AF98" t="s">
        <v>9</v>
      </c>
      <c r="AG98" t="s">
        <v>9</v>
      </c>
      <c r="AH98" t="s">
        <v>9</v>
      </c>
      <c r="AI98" t="s">
        <v>9</v>
      </c>
      <c r="AJ98" t="s">
        <v>9</v>
      </c>
      <c r="AK98" t="s">
        <v>9</v>
      </c>
      <c r="AL98" t="s">
        <v>9</v>
      </c>
      <c r="AM98" t="s">
        <v>9</v>
      </c>
      <c r="AN98" t="s">
        <v>9</v>
      </c>
      <c r="AO98" t="s">
        <v>9</v>
      </c>
      <c r="AP98" t="s">
        <v>9</v>
      </c>
      <c r="AQ98" t="s">
        <v>9</v>
      </c>
      <c r="AR98" t="s">
        <v>9</v>
      </c>
      <c r="AS98" t="s">
        <v>9</v>
      </c>
      <c r="AT98" t="s">
        <v>9</v>
      </c>
      <c r="AU98" t="s">
        <v>9</v>
      </c>
      <c r="AV98" t="s">
        <v>9</v>
      </c>
      <c r="AW98" t="s">
        <v>9</v>
      </c>
      <c r="AX98" t="s">
        <v>9</v>
      </c>
      <c r="AY98" t="s">
        <v>9</v>
      </c>
      <c r="AZ98" t="s">
        <v>9</v>
      </c>
      <c r="BA98" t="s">
        <v>9</v>
      </c>
      <c r="BB98" t="s">
        <v>9</v>
      </c>
      <c r="BC98" t="s">
        <v>9</v>
      </c>
      <c r="BD98" t="s">
        <v>9</v>
      </c>
      <c r="BE98" t="s">
        <v>9</v>
      </c>
      <c r="BF98" t="s">
        <v>9</v>
      </c>
      <c r="BG98" t="s">
        <v>9</v>
      </c>
      <c r="BH98" t="s">
        <v>9</v>
      </c>
      <c r="BI98" t="s">
        <v>9</v>
      </c>
      <c r="BJ98" t="s">
        <v>9</v>
      </c>
      <c r="BK98" t="s">
        <v>9</v>
      </c>
      <c r="BL98" t="s">
        <v>9</v>
      </c>
      <c r="BM98" t="s">
        <v>9</v>
      </c>
      <c r="BN98" t="s">
        <v>9</v>
      </c>
      <c r="BO98" t="s">
        <v>9</v>
      </c>
      <c r="BP98" t="s">
        <v>9</v>
      </c>
      <c r="BQ98" t="s">
        <v>9</v>
      </c>
      <c r="BR98" t="s">
        <v>9</v>
      </c>
    </row>
    <row r="99" spans="1:70">
      <c r="A99" s="169" t="s">
        <v>275</v>
      </c>
      <c r="B99" s="169" t="s">
        <v>53</v>
      </c>
      <c r="C99" s="169">
        <v>1</v>
      </c>
      <c r="D99" s="170" t="s">
        <v>591</v>
      </c>
      <c r="E99" s="171" t="str">
        <f>IF(COUNTIF(Measure_62443_3_3[[#This Row],[G 0.13 Interception of Compromising Interference Signals]:[IND.3.2.3 Insufficient regulations for the use of OT remote maintenance access]],"P")&gt;0,"X","")</f>
        <v/>
      </c>
      <c r="F99" s="171" t="str">
        <f>IF(OR(Measure_62443_3_3[[#This Row],[Requirement Selected (Prefulfilled)]]="X",Measure_62443_3_3[[#This Row],[Relevance revoked]]="Yes"),"X","")</f>
        <v/>
      </c>
      <c r="G99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99" s="171" t="str">
        <f>IF(OR(Measure_62443_3_3[[#This Row],[Requirement Selected (Prefulfilled + Mitigating)]]="X",Measure_62443_3_3[[#This Row],[Relevance revoked]]="Yes"),"X","")</f>
        <v/>
      </c>
      <c r="I99" s="172" t="str">
        <f>IF(VLOOKUP(Measure_62443_3_3[[#This Row],[FR]],'SL-T'!$A$5:$B$11,2,FALSE)&gt;=Measure_62443_3_3[[#This Row],[lowest SL-T]],"X","")</f>
        <v>X</v>
      </c>
      <c r="J99" s="173" t="s">
        <v>91</v>
      </c>
      <c r="K99" s="174"/>
      <c r="L99" t="s">
        <v>9</v>
      </c>
      <c r="M99" t="s">
        <v>9</v>
      </c>
      <c r="N99" t="s">
        <v>9</v>
      </c>
      <c r="O99" t="s">
        <v>9</v>
      </c>
      <c r="P99" t="s">
        <v>9</v>
      </c>
      <c r="Q99" t="s">
        <v>9</v>
      </c>
      <c r="R99" t="s">
        <v>9</v>
      </c>
      <c r="S99" t="s">
        <v>9</v>
      </c>
      <c r="T99" t="s">
        <v>9</v>
      </c>
      <c r="U99" t="s">
        <v>9</v>
      </c>
      <c r="V99" t="s">
        <v>9</v>
      </c>
      <c r="W99" t="s">
        <v>9</v>
      </c>
      <c r="X99" t="s">
        <v>9</v>
      </c>
      <c r="Y99" t="s">
        <v>9</v>
      </c>
      <c r="Z99" t="s">
        <v>9</v>
      </c>
      <c r="AA99" t="s">
        <v>9</v>
      </c>
      <c r="AB99" t="s">
        <v>9</v>
      </c>
      <c r="AC99" t="s">
        <v>9</v>
      </c>
      <c r="AD99" t="s">
        <v>9</v>
      </c>
      <c r="AE99" t="s">
        <v>9</v>
      </c>
      <c r="AF99" t="s">
        <v>9</v>
      </c>
      <c r="AG99" t="s">
        <v>9</v>
      </c>
      <c r="AH99" t="s">
        <v>9</v>
      </c>
      <c r="AI99" t="s">
        <v>9</v>
      </c>
      <c r="AJ99" t="s">
        <v>9</v>
      </c>
      <c r="AK99" t="s">
        <v>9</v>
      </c>
      <c r="AL99" t="s">
        <v>9</v>
      </c>
      <c r="AM99" t="s">
        <v>9</v>
      </c>
      <c r="AN99" t="s">
        <v>9</v>
      </c>
      <c r="AO99" t="s">
        <v>9</v>
      </c>
      <c r="AP99" t="s">
        <v>9</v>
      </c>
      <c r="AQ99" t="s">
        <v>9</v>
      </c>
      <c r="AR99" t="s">
        <v>9</v>
      </c>
      <c r="AS99" t="s">
        <v>9</v>
      </c>
      <c r="AT99" t="s">
        <v>9</v>
      </c>
      <c r="AU99" t="s">
        <v>9</v>
      </c>
      <c r="AV99" t="s">
        <v>9</v>
      </c>
      <c r="AW99" t="s">
        <v>9</v>
      </c>
      <c r="AX99" t="s">
        <v>9</v>
      </c>
      <c r="AY99" t="s">
        <v>9</v>
      </c>
      <c r="AZ99" t="s">
        <v>9</v>
      </c>
      <c r="BA99" t="s">
        <v>9</v>
      </c>
      <c r="BB99" t="s">
        <v>9</v>
      </c>
      <c r="BC99" t="s">
        <v>9</v>
      </c>
      <c r="BD99" t="s">
        <v>9</v>
      </c>
      <c r="BE99" t="s">
        <v>9</v>
      </c>
      <c r="BF99" t="s">
        <v>9</v>
      </c>
      <c r="BG99" t="s">
        <v>9</v>
      </c>
      <c r="BH99" t="s">
        <v>9</v>
      </c>
      <c r="BI99" t="s">
        <v>9</v>
      </c>
      <c r="BJ99" t="s">
        <v>9</v>
      </c>
      <c r="BK99" t="s">
        <v>9</v>
      </c>
      <c r="BL99" t="s">
        <v>9</v>
      </c>
      <c r="BM99" t="s">
        <v>9</v>
      </c>
      <c r="BN99" t="s">
        <v>9</v>
      </c>
      <c r="BO99" t="s">
        <v>9</v>
      </c>
      <c r="BP99" t="s">
        <v>9</v>
      </c>
      <c r="BQ99" t="s">
        <v>9</v>
      </c>
      <c r="BR99" t="s">
        <v>9</v>
      </c>
    </row>
    <row r="100" spans="1:70">
      <c r="A100" s="169" t="s">
        <v>276</v>
      </c>
      <c r="B100" s="169" t="s">
        <v>53</v>
      </c>
      <c r="C100" s="169">
        <v>1</v>
      </c>
      <c r="D100" s="170" t="s">
        <v>591</v>
      </c>
      <c r="E100" s="171" t="str">
        <f>IF(COUNTIF(Measure_62443_3_3[[#This Row],[G 0.13 Interception of Compromising Interference Signals]:[IND.3.2.3 Insufficient regulations for the use of OT remote maintenance access]],"P")&gt;0,"X","")</f>
        <v/>
      </c>
      <c r="F100" s="171" t="str">
        <f>IF(OR(Measure_62443_3_3[[#This Row],[Requirement Selected (Prefulfilled)]]="X",Measure_62443_3_3[[#This Row],[Relevance revoked]]="Yes"),"X","")</f>
        <v/>
      </c>
      <c r="G100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00" s="171" t="str">
        <f>IF(OR(Measure_62443_3_3[[#This Row],[Requirement Selected (Prefulfilled + Mitigating)]]="X",Measure_62443_3_3[[#This Row],[Relevance revoked]]="Yes"),"X","")</f>
        <v/>
      </c>
      <c r="I100" s="172" t="str">
        <f>IF(VLOOKUP(Measure_62443_3_3[[#This Row],[FR]],'SL-T'!$A$5:$B$11,2,FALSE)&gt;=Measure_62443_3_3[[#This Row],[lowest SL-T]],"X","")</f>
        <v>X</v>
      </c>
      <c r="J100" s="173" t="s">
        <v>91</v>
      </c>
      <c r="K100" s="174"/>
      <c r="L100" t="s">
        <v>9</v>
      </c>
      <c r="M100" t="s">
        <v>9</v>
      </c>
      <c r="N100" t="s">
        <v>9</v>
      </c>
      <c r="O100" t="s">
        <v>9</v>
      </c>
      <c r="P100" t="s">
        <v>9</v>
      </c>
      <c r="Q100" t="s">
        <v>9</v>
      </c>
      <c r="R100" t="s">
        <v>9</v>
      </c>
      <c r="S100" t="s">
        <v>9</v>
      </c>
      <c r="T100" t="s">
        <v>9</v>
      </c>
      <c r="U100" t="s">
        <v>9</v>
      </c>
      <c r="V100" t="s">
        <v>9</v>
      </c>
      <c r="W100" t="s">
        <v>9</v>
      </c>
      <c r="X100" t="s">
        <v>9</v>
      </c>
      <c r="Y100" t="s">
        <v>9</v>
      </c>
      <c r="Z100" t="s">
        <v>9</v>
      </c>
      <c r="AA100" t="s">
        <v>9</v>
      </c>
      <c r="AB100" t="s">
        <v>9</v>
      </c>
      <c r="AC100" t="s">
        <v>9</v>
      </c>
      <c r="AD100" t="s">
        <v>9</v>
      </c>
      <c r="AE100" t="s">
        <v>9</v>
      </c>
      <c r="AF100" t="s">
        <v>9</v>
      </c>
      <c r="AG100" t="s">
        <v>9</v>
      </c>
      <c r="AH100" t="s">
        <v>9</v>
      </c>
      <c r="AI100" t="s">
        <v>9</v>
      </c>
      <c r="AJ100" t="s">
        <v>9</v>
      </c>
      <c r="AK100" t="s">
        <v>9</v>
      </c>
      <c r="AL100" t="s">
        <v>9</v>
      </c>
      <c r="AM100" t="s">
        <v>9</v>
      </c>
      <c r="AN100" t="s">
        <v>9</v>
      </c>
      <c r="AO100" t="s">
        <v>9</v>
      </c>
      <c r="AP100" t="s">
        <v>9</v>
      </c>
      <c r="AQ100" t="s">
        <v>9</v>
      </c>
      <c r="AR100" t="s">
        <v>9</v>
      </c>
      <c r="AS100" t="s">
        <v>9</v>
      </c>
      <c r="AT100" t="s">
        <v>9</v>
      </c>
      <c r="AU100" t="s">
        <v>9</v>
      </c>
      <c r="AV100" t="s">
        <v>9</v>
      </c>
      <c r="AW100" t="s">
        <v>9</v>
      </c>
      <c r="AX100" t="s">
        <v>9</v>
      </c>
      <c r="AY100" t="s">
        <v>9</v>
      </c>
      <c r="AZ100" t="s">
        <v>9</v>
      </c>
      <c r="BA100" t="s">
        <v>9</v>
      </c>
      <c r="BB100" t="s">
        <v>9</v>
      </c>
      <c r="BC100" t="s">
        <v>9</v>
      </c>
      <c r="BD100" t="s">
        <v>9</v>
      </c>
      <c r="BE100" t="s">
        <v>9</v>
      </c>
      <c r="BF100" t="s">
        <v>9</v>
      </c>
      <c r="BG100" t="s">
        <v>9</v>
      </c>
      <c r="BH100" t="s">
        <v>9</v>
      </c>
      <c r="BI100" t="s">
        <v>9</v>
      </c>
      <c r="BJ100" t="s">
        <v>9</v>
      </c>
      <c r="BK100" t="s">
        <v>9</v>
      </c>
      <c r="BL100" t="s">
        <v>9</v>
      </c>
      <c r="BM100" t="s">
        <v>9</v>
      </c>
      <c r="BN100" t="s">
        <v>9</v>
      </c>
      <c r="BO100" t="s">
        <v>9</v>
      </c>
      <c r="BP100" t="s">
        <v>9</v>
      </c>
      <c r="BQ100" t="s">
        <v>9</v>
      </c>
      <c r="BR100" t="s">
        <v>9</v>
      </c>
    </row>
    <row r="101" spans="1:70" hidden="1">
      <c r="A101" s="169" t="s">
        <v>277</v>
      </c>
      <c r="B101" s="169" t="s">
        <v>53</v>
      </c>
      <c r="C101" s="169">
        <v>3</v>
      </c>
      <c r="D101" s="170" t="s">
        <v>591</v>
      </c>
      <c r="E101" s="171" t="str">
        <f>IF(COUNTIF(Measure_62443_3_3[[#This Row],[G 0.13 Interception of Compromising Interference Signals]:[IND.3.2.3 Insufficient regulations for the use of OT remote maintenance access]],"P")&gt;0,"X","")</f>
        <v/>
      </c>
      <c r="F101" s="171" t="str">
        <f>IF(OR(Measure_62443_3_3[[#This Row],[Requirement Selected (Prefulfilled)]]="X",Measure_62443_3_3[[#This Row],[Relevance revoked]]="Yes"),"X","")</f>
        <v/>
      </c>
      <c r="G101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01" s="171" t="str">
        <f>IF(OR(Measure_62443_3_3[[#This Row],[Requirement Selected (Prefulfilled + Mitigating)]]="X",Measure_62443_3_3[[#This Row],[Relevance revoked]]="Yes"),"X","")</f>
        <v/>
      </c>
      <c r="I101" s="172" t="str">
        <f>IF(VLOOKUP(Measure_62443_3_3[[#This Row],[FR]],'SL-T'!$A$5:$B$11,2,FALSE)&gt;=Measure_62443_3_3[[#This Row],[lowest SL-T]],"X","")</f>
        <v/>
      </c>
      <c r="J101" s="173" t="s">
        <v>91</v>
      </c>
      <c r="K101" s="174"/>
      <c r="L101" t="s">
        <v>9</v>
      </c>
      <c r="M101" t="s">
        <v>9</v>
      </c>
      <c r="N101" t="s">
        <v>9</v>
      </c>
      <c r="O101" t="s">
        <v>9</v>
      </c>
      <c r="P101" t="s">
        <v>9</v>
      </c>
      <c r="Q101" t="s">
        <v>9</v>
      </c>
      <c r="R101" t="s">
        <v>9</v>
      </c>
      <c r="S101" t="s">
        <v>9</v>
      </c>
      <c r="T101" t="s">
        <v>9</v>
      </c>
      <c r="U101" t="s">
        <v>9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 t="s">
        <v>9</v>
      </c>
      <c r="AC101" t="s">
        <v>9</v>
      </c>
      <c r="AD101" t="s">
        <v>9</v>
      </c>
      <c r="AE101" t="s">
        <v>9</v>
      </c>
      <c r="AF101" t="s">
        <v>9</v>
      </c>
      <c r="AG101" t="s">
        <v>9</v>
      </c>
      <c r="AH101" t="s">
        <v>9</v>
      </c>
      <c r="AI101" t="s">
        <v>9</v>
      </c>
      <c r="AJ101" t="s">
        <v>9</v>
      </c>
      <c r="AK101" t="s">
        <v>9</v>
      </c>
      <c r="AL101" t="s">
        <v>9</v>
      </c>
      <c r="AM101" t="s">
        <v>9</v>
      </c>
      <c r="AN101" t="s">
        <v>9</v>
      </c>
      <c r="AO101" t="s">
        <v>9</v>
      </c>
      <c r="AP101" t="s">
        <v>9</v>
      </c>
      <c r="AQ101" t="s">
        <v>9</v>
      </c>
      <c r="AR101" t="s">
        <v>9</v>
      </c>
      <c r="AS101" t="s">
        <v>9</v>
      </c>
      <c r="AT101" t="s">
        <v>9</v>
      </c>
      <c r="AU101" t="s">
        <v>9</v>
      </c>
      <c r="AV101" t="s">
        <v>9</v>
      </c>
      <c r="AW101" t="s">
        <v>9</v>
      </c>
      <c r="AX101" t="s">
        <v>9</v>
      </c>
      <c r="AY101" t="s">
        <v>9</v>
      </c>
      <c r="AZ101" t="s">
        <v>9</v>
      </c>
      <c r="BA101" t="s">
        <v>9</v>
      </c>
      <c r="BB101" t="s">
        <v>9</v>
      </c>
      <c r="BC101" t="s">
        <v>9</v>
      </c>
      <c r="BD101" t="s">
        <v>9</v>
      </c>
      <c r="BE101" t="s">
        <v>9</v>
      </c>
    </row>
    <row r="102" spans="1:70">
      <c r="A102" s="169" t="s">
        <v>278</v>
      </c>
      <c r="B102" s="169" t="s">
        <v>53</v>
      </c>
      <c r="C102" s="169">
        <v>1</v>
      </c>
      <c r="D102" s="170" t="s">
        <v>591</v>
      </c>
      <c r="E102" s="171" t="str">
        <f>IF(COUNTIF(Measure_62443_3_3[[#This Row],[G 0.13 Interception of Compromising Interference Signals]:[IND.3.2.3 Insufficient regulations for the use of OT remote maintenance access]],"P")&gt;0,"X","")</f>
        <v/>
      </c>
      <c r="F102" s="171" t="str">
        <f>IF(OR(Measure_62443_3_3[[#This Row],[Requirement Selected (Prefulfilled)]]="X",Measure_62443_3_3[[#This Row],[Relevance revoked]]="Yes"),"X","")</f>
        <v/>
      </c>
      <c r="G102" s="171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02" s="171" t="str">
        <f>IF(OR(Measure_62443_3_3[[#This Row],[Requirement Selected (Prefulfilled + Mitigating)]]="X",Measure_62443_3_3[[#This Row],[Relevance revoked]]="Yes"),"X","")</f>
        <v/>
      </c>
      <c r="I102" s="172" t="str">
        <f>IF(VLOOKUP(Measure_62443_3_3[[#This Row],[FR]],'SL-T'!$A$5:$B$11,2,FALSE)&gt;=Measure_62443_3_3[[#This Row],[lowest SL-T]],"X","")</f>
        <v>X</v>
      </c>
      <c r="J102" s="173" t="s">
        <v>91</v>
      </c>
      <c r="K102" s="174"/>
      <c r="L102" t="s">
        <v>9</v>
      </c>
      <c r="M102" t="s">
        <v>9</v>
      </c>
      <c r="N102" t="s">
        <v>9</v>
      </c>
      <c r="O102" t="s">
        <v>9</v>
      </c>
      <c r="P102" t="s">
        <v>9</v>
      </c>
      <c r="Q102" t="s">
        <v>9</v>
      </c>
      <c r="R102" t="s">
        <v>9</v>
      </c>
      <c r="S102" t="s">
        <v>9</v>
      </c>
      <c r="T102" t="s">
        <v>9</v>
      </c>
      <c r="U102" t="s">
        <v>9</v>
      </c>
      <c r="V102" t="s">
        <v>9</v>
      </c>
      <c r="W102" t="s">
        <v>9</v>
      </c>
      <c r="X102" t="s">
        <v>9</v>
      </c>
      <c r="Y102" t="s">
        <v>9</v>
      </c>
      <c r="Z102" t="s">
        <v>9</v>
      </c>
      <c r="AA102" t="s">
        <v>9</v>
      </c>
      <c r="AB102" t="s">
        <v>9</v>
      </c>
      <c r="AC102" t="s">
        <v>9</v>
      </c>
      <c r="AD102" t="s">
        <v>9</v>
      </c>
      <c r="AE102" t="s">
        <v>9</v>
      </c>
      <c r="AF102" t="s">
        <v>9</v>
      </c>
      <c r="AG102" t="s">
        <v>9</v>
      </c>
      <c r="AH102" t="s">
        <v>9</v>
      </c>
      <c r="AI102" t="s">
        <v>9</v>
      </c>
      <c r="AJ102" t="s">
        <v>9</v>
      </c>
      <c r="AK102" t="s">
        <v>9</v>
      </c>
      <c r="AL102" t="s">
        <v>9</v>
      </c>
      <c r="AM102" t="s">
        <v>9</v>
      </c>
      <c r="AN102" t="s">
        <v>9</v>
      </c>
      <c r="AO102" t="s">
        <v>9</v>
      </c>
      <c r="AP102" t="s">
        <v>9</v>
      </c>
      <c r="AQ102" t="s">
        <v>9</v>
      </c>
      <c r="AR102" t="s">
        <v>9</v>
      </c>
      <c r="AS102" t="s">
        <v>9</v>
      </c>
      <c r="AT102" t="s">
        <v>9</v>
      </c>
      <c r="AU102" t="s">
        <v>9</v>
      </c>
      <c r="AV102" t="s">
        <v>9</v>
      </c>
      <c r="AW102" t="s">
        <v>9</v>
      </c>
      <c r="AX102" t="s">
        <v>9</v>
      </c>
      <c r="AY102" t="s">
        <v>9</v>
      </c>
      <c r="AZ102" t="s">
        <v>9</v>
      </c>
      <c r="BA102" t="s">
        <v>9</v>
      </c>
      <c r="BB102" t="s">
        <v>9</v>
      </c>
      <c r="BC102" t="s">
        <v>9</v>
      </c>
      <c r="BD102" t="s">
        <v>9</v>
      </c>
      <c r="BE102" t="s">
        <v>9</v>
      </c>
      <c r="BF102" t="s">
        <v>9</v>
      </c>
      <c r="BG102" t="s">
        <v>9</v>
      </c>
      <c r="BH102" t="s">
        <v>9</v>
      </c>
      <c r="BI102" t="s">
        <v>9</v>
      </c>
      <c r="BJ102" t="s">
        <v>9</v>
      </c>
      <c r="BK102" t="s">
        <v>9</v>
      </c>
      <c r="BL102" t="s">
        <v>9</v>
      </c>
      <c r="BM102" t="s">
        <v>9</v>
      </c>
      <c r="BN102" t="s">
        <v>9</v>
      </c>
      <c r="BO102" t="s">
        <v>9</v>
      </c>
      <c r="BP102" t="s">
        <v>9</v>
      </c>
      <c r="BQ102" t="s">
        <v>9</v>
      </c>
      <c r="BR102" t="s">
        <v>9</v>
      </c>
    </row>
    <row r="103" spans="1:70">
      <c r="A103" s="169" t="s">
        <v>279</v>
      </c>
      <c r="B103" s="169" t="s">
        <v>53</v>
      </c>
      <c r="C103" s="169">
        <v>2</v>
      </c>
      <c r="D103" s="170" t="s">
        <v>591</v>
      </c>
      <c r="E103" s="170" t="str">
        <f>IF(COUNTIF(Measure_62443_3_3[[#This Row],[G 0.13 Interception of Compromising Interference Signals]:[IND.3.2.3 Insufficient regulations for the use of OT remote maintenance access]],"P")&gt;0,"X","")</f>
        <v/>
      </c>
      <c r="F103" s="170" t="str">
        <f>IF(OR(Measure_62443_3_3[[#This Row],[Requirement Selected (Prefulfilled)]]="X",Measure_62443_3_3[[#This Row],[Relevance revoked]]="Yes"),"X","")</f>
        <v/>
      </c>
      <c r="G103" s="170" t="str">
        <f>IF(COUNTIF(Measure_62443_3_3[[#This Row],[G 0.13 Interception of Compromising Interference Signals]:[IND.3.2.3 Insufficient regulations for the use of OT remote maintenance access]],"M")+COUNTIF(Measure_62443_3_3[[#This Row],[G 0.13 Interception of Compromising Interference Signals]:[IND.3.2.3 Insufficient regulations for the use of OT remote maintenance access]],"P")&gt;0,"X","")</f>
        <v/>
      </c>
      <c r="H103" s="170" t="str">
        <f>IF(OR(Measure_62443_3_3[[#This Row],[Requirement Selected (Prefulfilled + Mitigating)]]="X",Measure_62443_3_3[[#This Row],[Relevance revoked]]="Yes"),"X","")</f>
        <v/>
      </c>
      <c r="I103" s="172" t="str">
        <f>IF(VLOOKUP(Measure_62443_3_3[[#This Row],[FR]],'SL-T'!$A$5:$B$11,2,FALSE)&gt;=Measure_62443_3_3[[#This Row],[lowest SL-T]],"X","")</f>
        <v>X</v>
      </c>
      <c r="J103" s="173" t="s">
        <v>91</v>
      </c>
      <c r="K103" s="174"/>
      <c r="L103" t="s">
        <v>9</v>
      </c>
      <c r="M103" t="s">
        <v>9</v>
      </c>
      <c r="N103" t="s">
        <v>9</v>
      </c>
      <c r="O103" t="s">
        <v>9</v>
      </c>
      <c r="P103" t="s">
        <v>9</v>
      </c>
      <c r="Q103" t="s">
        <v>9</v>
      </c>
      <c r="R103" t="s">
        <v>9</v>
      </c>
      <c r="S103" t="s">
        <v>9</v>
      </c>
      <c r="T103" t="s">
        <v>9</v>
      </c>
      <c r="U103" t="s">
        <v>9</v>
      </c>
      <c r="V103" t="s">
        <v>9</v>
      </c>
      <c r="W103" t="s">
        <v>9</v>
      </c>
      <c r="X103" t="s">
        <v>9</v>
      </c>
      <c r="Y103" t="s">
        <v>9</v>
      </c>
      <c r="Z103" t="s">
        <v>9</v>
      </c>
      <c r="AA103" t="s">
        <v>9</v>
      </c>
      <c r="AB103" t="s">
        <v>9</v>
      </c>
      <c r="AC103" t="s">
        <v>9</v>
      </c>
      <c r="AD103" t="s">
        <v>9</v>
      </c>
      <c r="AE103" t="s">
        <v>9</v>
      </c>
      <c r="AF103" t="s">
        <v>9</v>
      </c>
      <c r="AG103" t="s">
        <v>9</v>
      </c>
      <c r="AH103" t="s">
        <v>9</v>
      </c>
      <c r="AI103" t="s">
        <v>9</v>
      </c>
      <c r="AJ103" t="s">
        <v>9</v>
      </c>
      <c r="AK103" t="s">
        <v>9</v>
      </c>
      <c r="AL103" t="s">
        <v>9</v>
      </c>
      <c r="AM103" t="s">
        <v>9</v>
      </c>
      <c r="AN103" t="s">
        <v>9</v>
      </c>
      <c r="AO103" t="s">
        <v>9</v>
      </c>
      <c r="AP103" t="s">
        <v>9</v>
      </c>
      <c r="AQ103" t="s">
        <v>9</v>
      </c>
      <c r="AR103" t="s">
        <v>9</v>
      </c>
      <c r="AS103" t="s">
        <v>9</v>
      </c>
      <c r="AT103" t="s">
        <v>9</v>
      </c>
      <c r="AU103" t="s">
        <v>9</v>
      </c>
      <c r="AV103" t="s">
        <v>9</v>
      </c>
      <c r="AW103" t="s">
        <v>9</v>
      </c>
      <c r="AX103" t="s">
        <v>9</v>
      </c>
      <c r="AY103" t="s">
        <v>9</v>
      </c>
      <c r="AZ103" t="s">
        <v>9</v>
      </c>
      <c r="BA103" t="s">
        <v>9</v>
      </c>
      <c r="BB103" t="s">
        <v>9</v>
      </c>
      <c r="BC103" t="s">
        <v>9</v>
      </c>
      <c r="BD103" t="s">
        <v>9</v>
      </c>
      <c r="BE103" t="s">
        <v>9</v>
      </c>
    </row>
  </sheetData>
  <mergeCells count="1">
    <mergeCell ref="A1:Q1"/>
  </mergeCells>
  <dataValidations count="2">
    <dataValidation type="list" allowBlank="1" showInputMessage="1" showErrorMessage="1" sqref="BF102:BR102 BF4:BR4 BF10:BR10 BF12:BR13 BF15:BR15 BF17:BR17 BF23:BR26 BF28:BR28 BF33:BR33 BF35:BR35 BF37:BR37 BF39:BR39 BF42:BR42 BF44:BR44 BF52:BR52 BF54:BR54 BF57:BR57 BF62:BR63 BF71:BR71 BF76:BR77 BF81:BR81 BF85:BR85 BF87:BR88 BF91:BR91 BF94:BR95 BF98:BR100 L4:BE103" xr:uid="{00000000-0002-0000-0500-000000000000}">
      <formula1>"-,P,M"</formula1>
    </dataValidation>
    <dataValidation type="list" allowBlank="1" showInputMessage="1" showErrorMessage="1" sqref="J4:J103" xr:uid="{30B33D53-FECC-40B9-B792-B9EBDB8F437B}">
      <formula1>"Yes,No"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BJ92"/>
  <sheetViews>
    <sheetView zoomScale="85" zoomScaleNormal="85" workbookViewId="0">
      <pane xSplit="3" ySplit="3" topLeftCell="D90" activePane="bottomRight" state="frozen"/>
      <selection pane="topRight" activeCell="F1" sqref="F1"/>
      <selection pane="bottomLeft" activeCell="A3" sqref="A3"/>
      <selection pane="bottomRight" activeCell="B4" sqref="B4:B92"/>
    </sheetView>
  </sheetViews>
  <sheetFormatPr baseColWidth="10" defaultColWidth="11.44140625" defaultRowHeight="14.4"/>
  <cols>
    <col min="1" max="1" width="23.44140625" customWidth="1"/>
    <col min="2" max="2" width="70.88671875" customWidth="1"/>
    <col min="3" max="3" width="5.6640625" customWidth="1"/>
    <col min="4" max="48" width="3.6640625" bestFit="1" customWidth="1"/>
    <col min="49" max="62" width="3.6640625" customWidth="1"/>
  </cols>
  <sheetData>
    <row r="1" spans="1:62" ht="39.6" customHeigh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</row>
    <row r="2" spans="1:62">
      <c r="A2" s="134"/>
      <c r="B2" s="16" t="s">
        <v>168</v>
      </c>
    </row>
    <row r="3" spans="1:62" ht="313.5" customHeight="1">
      <c r="A3" s="26" t="s">
        <v>280</v>
      </c>
      <c r="B3" s="27" t="s">
        <v>281</v>
      </c>
      <c r="C3" s="62" t="s">
        <v>282</v>
      </c>
      <c r="D3" s="24" t="s">
        <v>80</v>
      </c>
      <c r="E3" s="24" t="s">
        <v>84</v>
      </c>
      <c r="F3" s="24" t="s">
        <v>86</v>
      </c>
      <c r="G3" s="24" t="s">
        <v>88</v>
      </c>
      <c r="H3" s="24" t="s">
        <v>90</v>
      </c>
      <c r="I3" s="24" t="s">
        <v>92</v>
      </c>
      <c r="J3" s="24" t="s">
        <v>93</v>
      </c>
      <c r="K3" s="24" t="s">
        <v>95</v>
      </c>
      <c r="L3" s="24" t="s">
        <v>98</v>
      </c>
      <c r="M3" s="24" t="s">
        <v>99</v>
      </c>
      <c r="N3" s="24" t="s">
        <v>100</v>
      </c>
      <c r="O3" s="24" t="s">
        <v>101</v>
      </c>
      <c r="P3" s="24" t="s">
        <v>102</v>
      </c>
      <c r="Q3" s="24" t="s">
        <v>103</v>
      </c>
      <c r="R3" s="24" t="s">
        <v>104</v>
      </c>
      <c r="S3" s="24" t="s">
        <v>105</v>
      </c>
      <c r="T3" s="24" t="s">
        <v>106</v>
      </c>
      <c r="U3" s="24" t="s">
        <v>107</v>
      </c>
      <c r="V3" s="24" t="s">
        <v>108</v>
      </c>
      <c r="W3" s="24" t="s">
        <v>109</v>
      </c>
      <c r="X3" s="24" t="s">
        <v>110</v>
      </c>
      <c r="Y3" s="24" t="s">
        <v>111</v>
      </c>
      <c r="Z3" s="24" t="s">
        <v>112</v>
      </c>
      <c r="AA3" s="24" t="s">
        <v>113</v>
      </c>
      <c r="AB3" s="24" t="s">
        <v>114</v>
      </c>
      <c r="AC3" s="24" t="s">
        <v>115</v>
      </c>
      <c r="AD3" s="24" t="s">
        <v>116</v>
      </c>
      <c r="AE3" s="24" t="s">
        <v>117</v>
      </c>
      <c r="AF3" s="24" t="s">
        <v>118</v>
      </c>
      <c r="AG3" s="24" t="s">
        <v>119</v>
      </c>
      <c r="AH3" s="24" t="s">
        <v>120</v>
      </c>
      <c r="AI3" s="24" t="s">
        <v>121</v>
      </c>
      <c r="AJ3" s="24" t="s">
        <v>122</v>
      </c>
      <c r="AK3" s="24" t="s">
        <v>123</v>
      </c>
      <c r="AL3" s="24" t="s">
        <v>124</v>
      </c>
      <c r="AM3" s="24" t="s">
        <v>125</v>
      </c>
      <c r="AN3" s="24" t="s">
        <v>126</v>
      </c>
      <c r="AO3" s="24" t="s">
        <v>127</v>
      </c>
      <c r="AP3" s="24" t="s">
        <v>128</v>
      </c>
      <c r="AQ3" s="24" t="s">
        <v>129</v>
      </c>
      <c r="AR3" s="24" t="s">
        <v>130</v>
      </c>
      <c r="AS3" s="24" t="s">
        <v>131</v>
      </c>
      <c r="AT3" s="24" t="s">
        <v>132</v>
      </c>
      <c r="AU3" s="24" t="s">
        <v>133</v>
      </c>
      <c r="AV3" s="24" t="s">
        <v>134</v>
      </c>
      <c r="AW3" s="24" t="s">
        <v>135</v>
      </c>
      <c r="AX3" s="24" t="s">
        <v>136</v>
      </c>
      <c r="AY3" s="24" t="s">
        <v>137</v>
      </c>
      <c r="AZ3" s="24" t="s">
        <v>138</v>
      </c>
      <c r="BA3" s="24" t="s">
        <v>139</v>
      </c>
      <c r="BB3" s="24" t="s">
        <v>140</v>
      </c>
      <c r="BC3" s="24" t="s">
        <v>141</v>
      </c>
      <c r="BD3" s="24" t="s">
        <v>142</v>
      </c>
      <c r="BE3" s="24" t="s">
        <v>143</v>
      </c>
      <c r="BF3" s="24" t="s">
        <v>144</v>
      </c>
      <c r="BG3" s="24" t="s">
        <v>145</v>
      </c>
      <c r="BH3" s="24" t="s">
        <v>146</v>
      </c>
      <c r="BI3" s="24" t="s">
        <v>147</v>
      </c>
      <c r="BJ3" s="24" t="s">
        <v>148</v>
      </c>
    </row>
    <row r="4" spans="1:62">
      <c r="A4" t="s">
        <v>283</v>
      </c>
      <c r="B4" s="133" t="s">
        <v>591</v>
      </c>
      <c r="C4" s="31" t="str">
        <f>IF(COUNTIF(Measure_62443_2_1[[#This Row],[G 0.13 Interception of Compromising Interference Signals]:[IND.3.2.3 Insufficient regulations for the use of OT remote maintenance access]],"X")&gt;0,"X","")</f>
        <v/>
      </c>
      <c r="D4" t="s">
        <v>9</v>
      </c>
      <c r="E4" t="s">
        <v>9</v>
      </c>
      <c r="F4" t="s">
        <v>9</v>
      </c>
      <c r="G4" t="s">
        <v>9</v>
      </c>
      <c r="H4" t="s">
        <v>9</v>
      </c>
      <c r="I4" t="s">
        <v>9</v>
      </c>
      <c r="J4" t="s">
        <v>9</v>
      </c>
      <c r="K4" t="s">
        <v>9</v>
      </c>
      <c r="L4" t="s">
        <v>9</v>
      </c>
      <c r="M4" t="s">
        <v>9</v>
      </c>
      <c r="N4" t="s">
        <v>9</v>
      </c>
      <c r="O4" t="s">
        <v>9</v>
      </c>
      <c r="P4" t="s">
        <v>9</v>
      </c>
      <c r="Q4" t="s">
        <v>9</v>
      </c>
      <c r="R4" t="s">
        <v>9</v>
      </c>
      <c r="S4" t="s">
        <v>9</v>
      </c>
      <c r="T4" t="s">
        <v>9</v>
      </c>
      <c r="U4" t="s">
        <v>9</v>
      </c>
      <c r="V4" t="s">
        <v>9</v>
      </c>
      <c r="W4" t="s">
        <v>9</v>
      </c>
      <c r="X4" t="s">
        <v>9</v>
      </c>
      <c r="Y4" t="s">
        <v>9</v>
      </c>
      <c r="Z4" t="s">
        <v>9</v>
      </c>
      <c r="AA4" t="s">
        <v>9</v>
      </c>
      <c r="AB4" t="s">
        <v>9</v>
      </c>
      <c r="AC4" t="s">
        <v>9</v>
      </c>
      <c r="AD4" t="s">
        <v>9</v>
      </c>
      <c r="AE4" t="s">
        <v>9</v>
      </c>
      <c r="AF4" t="s">
        <v>9</v>
      </c>
      <c r="AG4" t="s">
        <v>9</v>
      </c>
      <c r="AH4" t="s">
        <v>9</v>
      </c>
      <c r="AI4" t="s">
        <v>9</v>
      </c>
      <c r="AJ4" t="s">
        <v>9</v>
      </c>
      <c r="AK4" t="s">
        <v>9</v>
      </c>
      <c r="AL4" t="s">
        <v>9</v>
      </c>
      <c r="AM4" t="s">
        <v>9</v>
      </c>
      <c r="AN4" t="s">
        <v>9</v>
      </c>
      <c r="AO4" t="s">
        <v>9</v>
      </c>
      <c r="AP4" t="s">
        <v>9</v>
      </c>
      <c r="AQ4" t="s">
        <v>9</v>
      </c>
      <c r="AR4" t="s">
        <v>9</v>
      </c>
      <c r="AS4" t="s">
        <v>9</v>
      </c>
      <c r="AT4" t="s">
        <v>9</v>
      </c>
      <c r="AU4" t="s">
        <v>9</v>
      </c>
      <c r="AV4" t="s">
        <v>9</v>
      </c>
      <c r="AW4" t="s">
        <v>9</v>
      </c>
      <c r="AX4" t="s">
        <v>9</v>
      </c>
      <c r="AY4" t="s">
        <v>9</v>
      </c>
      <c r="AZ4" t="s">
        <v>9</v>
      </c>
      <c r="BA4" t="s">
        <v>9</v>
      </c>
      <c r="BB4" t="s">
        <v>9</v>
      </c>
      <c r="BC4" t="s">
        <v>9</v>
      </c>
      <c r="BD4" t="s">
        <v>9</v>
      </c>
      <c r="BE4" t="s">
        <v>9</v>
      </c>
      <c r="BF4" t="s">
        <v>9</v>
      </c>
      <c r="BG4" t="s">
        <v>9</v>
      </c>
      <c r="BH4" t="s">
        <v>9</v>
      </c>
      <c r="BI4" t="s">
        <v>9</v>
      </c>
      <c r="BJ4" t="s">
        <v>9</v>
      </c>
    </row>
    <row r="5" spans="1:62">
      <c r="A5" t="s">
        <v>284</v>
      </c>
      <c r="B5" s="133" t="s">
        <v>591</v>
      </c>
      <c r="C5" s="133" t="str">
        <f>IF(COUNTIF(Measure_62443_2_1[[#This Row],[G 0.13 Interception of Compromising Interference Signals]:[IND.3.2.3 Insufficient regulations for the use of OT remote maintenance access]],"X")&gt;0,"X","")</f>
        <v/>
      </c>
      <c r="D5" t="s">
        <v>9</v>
      </c>
      <c r="E5" t="s">
        <v>9</v>
      </c>
      <c r="F5" t="s">
        <v>9</v>
      </c>
      <c r="G5" t="s">
        <v>9</v>
      </c>
      <c r="H5" t="s">
        <v>9</v>
      </c>
      <c r="I5" t="s">
        <v>9</v>
      </c>
      <c r="J5" t="s">
        <v>9</v>
      </c>
      <c r="K5" t="s">
        <v>9</v>
      </c>
      <c r="L5" t="s">
        <v>9</v>
      </c>
      <c r="M5" t="s">
        <v>9</v>
      </c>
      <c r="N5" t="s">
        <v>9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V5" t="s">
        <v>9</v>
      </c>
      <c r="W5" t="s">
        <v>9</v>
      </c>
      <c r="X5" t="s">
        <v>9</v>
      </c>
      <c r="Y5" t="s">
        <v>9</v>
      </c>
      <c r="Z5" t="s">
        <v>9</v>
      </c>
      <c r="AA5" t="s">
        <v>9</v>
      </c>
      <c r="AB5" t="s">
        <v>9</v>
      </c>
      <c r="AC5" t="s">
        <v>9</v>
      </c>
      <c r="AD5" t="s">
        <v>9</v>
      </c>
      <c r="AE5" t="s">
        <v>9</v>
      </c>
      <c r="AF5" t="s">
        <v>9</v>
      </c>
      <c r="AG5" t="s">
        <v>9</v>
      </c>
      <c r="AH5" t="s">
        <v>9</v>
      </c>
      <c r="AI5" t="s">
        <v>9</v>
      </c>
      <c r="AJ5" t="s">
        <v>9</v>
      </c>
      <c r="AK5" t="s">
        <v>9</v>
      </c>
      <c r="AL5" t="s">
        <v>9</v>
      </c>
      <c r="AM5" t="s">
        <v>9</v>
      </c>
      <c r="AN5" t="s">
        <v>9</v>
      </c>
      <c r="AO5" t="s">
        <v>9</v>
      </c>
      <c r="AP5" t="s">
        <v>9</v>
      </c>
      <c r="AQ5" t="s">
        <v>9</v>
      </c>
      <c r="AR5" t="s">
        <v>9</v>
      </c>
      <c r="AS5" t="s">
        <v>9</v>
      </c>
      <c r="AT5" t="s">
        <v>9</v>
      </c>
      <c r="AU5" t="s">
        <v>9</v>
      </c>
      <c r="AV5" t="s">
        <v>9</v>
      </c>
      <c r="AW5" t="s">
        <v>9</v>
      </c>
      <c r="AX5" t="s">
        <v>9</v>
      </c>
      <c r="AY5" t="s">
        <v>9</v>
      </c>
      <c r="AZ5" t="s">
        <v>9</v>
      </c>
      <c r="BA5" t="s">
        <v>9</v>
      </c>
      <c r="BB5" t="s">
        <v>9</v>
      </c>
      <c r="BC5" t="s">
        <v>9</v>
      </c>
      <c r="BD5" t="s">
        <v>9</v>
      </c>
      <c r="BE5" t="s">
        <v>9</v>
      </c>
      <c r="BF5" t="s">
        <v>9</v>
      </c>
      <c r="BG5" t="s">
        <v>9</v>
      </c>
      <c r="BH5" t="s">
        <v>9</v>
      </c>
      <c r="BI5" t="s">
        <v>9</v>
      </c>
      <c r="BJ5" t="s">
        <v>9</v>
      </c>
    </row>
    <row r="6" spans="1:62">
      <c r="A6" t="s">
        <v>285</v>
      </c>
      <c r="B6" s="133" t="s">
        <v>591</v>
      </c>
      <c r="C6" s="133" t="str">
        <f>IF(COUNTIF(Measure_62443_2_1[[#This Row],[G 0.13 Interception of Compromising Interference Signals]:[IND.3.2.3 Insufficient regulations for the use of OT remote maintenance access]],"X")&gt;0,"X","")</f>
        <v/>
      </c>
      <c r="D6" t="s">
        <v>9</v>
      </c>
      <c r="E6" t="s">
        <v>9</v>
      </c>
      <c r="F6" t="s">
        <v>9</v>
      </c>
      <c r="G6" t="s">
        <v>9</v>
      </c>
      <c r="H6" t="s">
        <v>9</v>
      </c>
      <c r="I6" t="s">
        <v>9</v>
      </c>
      <c r="J6" t="s">
        <v>9</v>
      </c>
      <c r="K6" t="s">
        <v>9</v>
      </c>
      <c r="L6" t="s">
        <v>9</v>
      </c>
      <c r="M6" t="s">
        <v>9</v>
      </c>
      <c r="N6" t="s">
        <v>9</v>
      </c>
      <c r="O6" t="s">
        <v>9</v>
      </c>
      <c r="P6" t="s">
        <v>9</v>
      </c>
      <c r="Q6" t="s">
        <v>9</v>
      </c>
      <c r="R6" t="s">
        <v>9</v>
      </c>
      <c r="S6" t="s">
        <v>9</v>
      </c>
      <c r="T6" t="s">
        <v>9</v>
      </c>
      <c r="U6" t="s">
        <v>9</v>
      </c>
      <c r="V6" t="s">
        <v>9</v>
      </c>
      <c r="W6" t="s">
        <v>9</v>
      </c>
      <c r="X6" t="s">
        <v>9</v>
      </c>
      <c r="Y6" t="s">
        <v>9</v>
      </c>
      <c r="Z6" t="s">
        <v>9</v>
      </c>
      <c r="AA6" t="s">
        <v>9</v>
      </c>
      <c r="AB6" t="s">
        <v>9</v>
      </c>
      <c r="AC6" t="s">
        <v>9</v>
      </c>
      <c r="AD6" t="s">
        <v>9</v>
      </c>
      <c r="AE6" t="s">
        <v>9</v>
      </c>
      <c r="AF6" t="s">
        <v>9</v>
      </c>
      <c r="AG6" t="s">
        <v>9</v>
      </c>
      <c r="AH6" t="s">
        <v>9</v>
      </c>
      <c r="AI6" t="s">
        <v>9</v>
      </c>
      <c r="AJ6" t="s">
        <v>9</v>
      </c>
      <c r="AK6" t="s">
        <v>9</v>
      </c>
      <c r="AL6" t="s">
        <v>9</v>
      </c>
      <c r="AM6" t="s">
        <v>9</v>
      </c>
      <c r="AN6" t="s">
        <v>9</v>
      </c>
      <c r="AO6" t="s">
        <v>9</v>
      </c>
      <c r="AP6" t="s">
        <v>9</v>
      </c>
      <c r="AQ6" t="s">
        <v>9</v>
      </c>
      <c r="AR6" t="s">
        <v>9</v>
      </c>
      <c r="AS6" t="s">
        <v>9</v>
      </c>
      <c r="AT6" t="s">
        <v>9</v>
      </c>
      <c r="AU6" t="s">
        <v>9</v>
      </c>
      <c r="AV6" t="s">
        <v>9</v>
      </c>
      <c r="AW6" t="s">
        <v>9</v>
      </c>
      <c r="AX6" t="s">
        <v>9</v>
      </c>
      <c r="AY6" t="s">
        <v>9</v>
      </c>
      <c r="AZ6" t="s">
        <v>9</v>
      </c>
      <c r="BA6" t="s">
        <v>9</v>
      </c>
      <c r="BB6" t="s">
        <v>9</v>
      </c>
      <c r="BC6" t="s">
        <v>9</v>
      </c>
      <c r="BD6" t="s">
        <v>9</v>
      </c>
      <c r="BE6" t="s">
        <v>9</v>
      </c>
      <c r="BF6" t="s">
        <v>9</v>
      </c>
      <c r="BG6" t="s">
        <v>9</v>
      </c>
      <c r="BH6" t="s">
        <v>9</v>
      </c>
      <c r="BI6" t="s">
        <v>9</v>
      </c>
      <c r="BJ6" t="s">
        <v>9</v>
      </c>
    </row>
    <row r="7" spans="1:62">
      <c r="A7" t="s">
        <v>286</v>
      </c>
      <c r="B7" s="133" t="s">
        <v>591</v>
      </c>
      <c r="C7" s="133" t="str">
        <f>IF(COUNTIF(Measure_62443_2_1[[#This Row],[G 0.13 Interception of Compromising Interference Signals]:[IND.3.2.3 Insufficient regulations for the use of OT remote maintenance access]],"X")&gt;0,"X","")</f>
        <v/>
      </c>
      <c r="D7" t="s">
        <v>9</v>
      </c>
      <c r="E7" t="s">
        <v>9</v>
      </c>
      <c r="F7" t="s">
        <v>9</v>
      </c>
      <c r="G7" t="s">
        <v>9</v>
      </c>
      <c r="H7" t="s">
        <v>9</v>
      </c>
      <c r="I7" t="s">
        <v>9</v>
      </c>
      <c r="J7" t="s">
        <v>9</v>
      </c>
      <c r="K7" t="s">
        <v>9</v>
      </c>
      <c r="L7" t="s">
        <v>9</v>
      </c>
      <c r="M7" t="s">
        <v>9</v>
      </c>
      <c r="N7" t="s">
        <v>9</v>
      </c>
      <c r="O7" t="s">
        <v>9</v>
      </c>
      <c r="P7" t="s">
        <v>9</v>
      </c>
      <c r="Q7" t="s">
        <v>9</v>
      </c>
      <c r="R7" t="s">
        <v>9</v>
      </c>
      <c r="S7" t="s">
        <v>9</v>
      </c>
      <c r="T7" t="s">
        <v>9</v>
      </c>
      <c r="U7" t="s">
        <v>9</v>
      </c>
      <c r="V7" t="s">
        <v>9</v>
      </c>
      <c r="W7" t="s">
        <v>9</v>
      </c>
      <c r="X7" t="s">
        <v>9</v>
      </c>
      <c r="Y7" t="s">
        <v>9</v>
      </c>
      <c r="Z7" t="s">
        <v>9</v>
      </c>
      <c r="AA7" t="s">
        <v>9</v>
      </c>
      <c r="AB7" t="s">
        <v>9</v>
      </c>
      <c r="AC7" t="s">
        <v>9</v>
      </c>
      <c r="AD7" t="s">
        <v>9</v>
      </c>
      <c r="AE7" t="s">
        <v>9</v>
      </c>
      <c r="AF7" t="s">
        <v>9</v>
      </c>
      <c r="AG7" t="s">
        <v>9</v>
      </c>
      <c r="AH7" t="s">
        <v>9</v>
      </c>
      <c r="AI7" t="s">
        <v>9</v>
      </c>
      <c r="AJ7" t="s">
        <v>9</v>
      </c>
      <c r="AK7" t="s">
        <v>9</v>
      </c>
      <c r="AL7" t="s">
        <v>9</v>
      </c>
      <c r="AM7" t="s">
        <v>9</v>
      </c>
      <c r="AN7" t="s">
        <v>9</v>
      </c>
      <c r="AO7" t="s">
        <v>9</v>
      </c>
      <c r="AP7" t="s">
        <v>9</v>
      </c>
      <c r="AQ7" t="s">
        <v>9</v>
      </c>
      <c r="AR7" t="s">
        <v>9</v>
      </c>
      <c r="AS7" t="s">
        <v>9</v>
      </c>
      <c r="AT7" t="s">
        <v>9</v>
      </c>
      <c r="AU7" t="s">
        <v>9</v>
      </c>
      <c r="AV7" t="s">
        <v>9</v>
      </c>
      <c r="AW7" t="s">
        <v>9</v>
      </c>
      <c r="AX7" t="s">
        <v>9</v>
      </c>
      <c r="AY7" t="s">
        <v>9</v>
      </c>
      <c r="AZ7" t="s">
        <v>9</v>
      </c>
      <c r="BA7" t="s">
        <v>9</v>
      </c>
      <c r="BB7" t="s">
        <v>9</v>
      </c>
      <c r="BC7" t="s">
        <v>9</v>
      </c>
      <c r="BD7" t="s">
        <v>9</v>
      </c>
      <c r="BE7" t="s">
        <v>9</v>
      </c>
      <c r="BF7" t="s">
        <v>9</v>
      </c>
      <c r="BG7" t="s">
        <v>9</v>
      </c>
      <c r="BH7" t="s">
        <v>9</v>
      </c>
      <c r="BI7" t="s">
        <v>9</v>
      </c>
      <c r="BJ7" t="s">
        <v>9</v>
      </c>
    </row>
    <row r="8" spans="1:62">
      <c r="A8" t="s">
        <v>287</v>
      </c>
      <c r="B8" s="133" t="s">
        <v>591</v>
      </c>
      <c r="C8" s="133" t="str">
        <f>IF(COUNTIF(Measure_62443_2_1[[#This Row],[G 0.13 Interception of Compromising Interference Signals]:[IND.3.2.3 Insufficient regulations for the use of OT remote maintenance access]],"X")&gt;0,"X","")</f>
        <v/>
      </c>
      <c r="D8" t="s">
        <v>9</v>
      </c>
      <c r="E8" t="s">
        <v>9</v>
      </c>
      <c r="F8" t="s">
        <v>9</v>
      </c>
      <c r="G8" t="s">
        <v>9</v>
      </c>
      <c r="H8" t="s">
        <v>9</v>
      </c>
      <c r="I8" t="s">
        <v>9</v>
      </c>
      <c r="J8" t="s">
        <v>9</v>
      </c>
      <c r="K8" t="s">
        <v>9</v>
      </c>
      <c r="L8" t="s">
        <v>9</v>
      </c>
      <c r="M8" t="s">
        <v>9</v>
      </c>
      <c r="N8" t="s">
        <v>9</v>
      </c>
      <c r="O8" t="s">
        <v>9</v>
      </c>
      <c r="P8" t="s">
        <v>9</v>
      </c>
      <c r="Q8" t="s">
        <v>9</v>
      </c>
      <c r="R8" t="s">
        <v>9</v>
      </c>
      <c r="S8" t="s">
        <v>9</v>
      </c>
      <c r="T8" t="s">
        <v>9</v>
      </c>
      <c r="U8" t="s">
        <v>9</v>
      </c>
      <c r="V8" t="s">
        <v>9</v>
      </c>
      <c r="W8" t="s">
        <v>9</v>
      </c>
      <c r="X8" t="s">
        <v>9</v>
      </c>
      <c r="Y8" t="s">
        <v>9</v>
      </c>
      <c r="Z8" t="s">
        <v>9</v>
      </c>
      <c r="AA8" t="s">
        <v>9</v>
      </c>
      <c r="AB8" t="s">
        <v>9</v>
      </c>
      <c r="AC8" t="s">
        <v>9</v>
      </c>
      <c r="AD8" t="s">
        <v>9</v>
      </c>
      <c r="AE8" t="s">
        <v>9</v>
      </c>
      <c r="AF8" t="s">
        <v>9</v>
      </c>
      <c r="AG8" t="s">
        <v>9</v>
      </c>
      <c r="AH8" t="s">
        <v>9</v>
      </c>
      <c r="AI8" t="s">
        <v>9</v>
      </c>
      <c r="AJ8" t="s">
        <v>9</v>
      </c>
      <c r="AK8" t="s">
        <v>9</v>
      </c>
      <c r="AL8" t="s">
        <v>9</v>
      </c>
      <c r="AM8" t="s">
        <v>9</v>
      </c>
      <c r="AN8" t="s">
        <v>9</v>
      </c>
      <c r="AO8" t="s">
        <v>9</v>
      </c>
      <c r="AP8" t="s">
        <v>9</v>
      </c>
      <c r="AQ8" t="s">
        <v>9</v>
      </c>
      <c r="AR8" t="s">
        <v>9</v>
      </c>
      <c r="AS8" t="s">
        <v>9</v>
      </c>
      <c r="AT8" t="s">
        <v>9</v>
      </c>
      <c r="AU8" t="s">
        <v>9</v>
      </c>
      <c r="AV8" t="s">
        <v>9</v>
      </c>
      <c r="AW8" t="s">
        <v>9</v>
      </c>
      <c r="AX8" t="s">
        <v>9</v>
      </c>
      <c r="AY8" t="s">
        <v>9</v>
      </c>
      <c r="AZ8" t="s">
        <v>9</v>
      </c>
      <c r="BA8" t="s">
        <v>9</v>
      </c>
      <c r="BB8" t="s">
        <v>9</v>
      </c>
      <c r="BC8" t="s">
        <v>9</v>
      </c>
      <c r="BD8" t="s">
        <v>9</v>
      </c>
      <c r="BE8" t="s">
        <v>9</v>
      </c>
      <c r="BF8" t="s">
        <v>9</v>
      </c>
      <c r="BG8" t="s">
        <v>9</v>
      </c>
      <c r="BH8" t="s">
        <v>9</v>
      </c>
      <c r="BI8" t="s">
        <v>9</v>
      </c>
      <c r="BJ8" t="s">
        <v>9</v>
      </c>
    </row>
    <row r="9" spans="1:62">
      <c r="A9" t="s">
        <v>288</v>
      </c>
      <c r="B9" s="133" t="s">
        <v>591</v>
      </c>
      <c r="C9" s="133" t="str">
        <f>IF(COUNTIF(Measure_62443_2_1[[#This Row],[G 0.13 Interception of Compromising Interference Signals]:[IND.3.2.3 Insufficient regulations for the use of OT remote maintenance access]],"X")&gt;0,"X","")</f>
        <v/>
      </c>
      <c r="D9" t="s">
        <v>9</v>
      </c>
      <c r="E9" t="s">
        <v>9</v>
      </c>
      <c r="F9" t="s">
        <v>9</v>
      </c>
      <c r="G9" t="s">
        <v>9</v>
      </c>
      <c r="H9" t="s">
        <v>9</v>
      </c>
      <c r="I9" t="s">
        <v>9</v>
      </c>
      <c r="J9" t="s">
        <v>9</v>
      </c>
      <c r="K9" t="s">
        <v>9</v>
      </c>
      <c r="L9" t="s">
        <v>9</v>
      </c>
      <c r="M9" t="s">
        <v>9</v>
      </c>
      <c r="N9" t="s">
        <v>9</v>
      </c>
      <c r="O9" t="s">
        <v>9</v>
      </c>
      <c r="P9" t="s">
        <v>9</v>
      </c>
      <c r="Q9" t="s">
        <v>9</v>
      </c>
      <c r="R9" t="s">
        <v>9</v>
      </c>
      <c r="S9" t="s">
        <v>9</v>
      </c>
      <c r="T9" t="s">
        <v>9</v>
      </c>
      <c r="U9" t="s">
        <v>9</v>
      </c>
      <c r="V9" t="s">
        <v>9</v>
      </c>
      <c r="W9" t="s">
        <v>9</v>
      </c>
      <c r="X9" t="s">
        <v>9</v>
      </c>
      <c r="Y9" t="s">
        <v>9</v>
      </c>
      <c r="Z9" t="s">
        <v>9</v>
      </c>
      <c r="AA9" t="s">
        <v>9</v>
      </c>
      <c r="AB9" t="s">
        <v>9</v>
      </c>
      <c r="AC9" t="s">
        <v>9</v>
      </c>
      <c r="AD9" t="s">
        <v>9</v>
      </c>
      <c r="AE9" t="s">
        <v>9</v>
      </c>
      <c r="AF9" t="s">
        <v>9</v>
      </c>
      <c r="AG9" t="s">
        <v>9</v>
      </c>
      <c r="AH9" t="s">
        <v>9</v>
      </c>
      <c r="AI9" t="s">
        <v>9</v>
      </c>
      <c r="AJ9" t="s">
        <v>9</v>
      </c>
      <c r="AK9" t="s">
        <v>9</v>
      </c>
      <c r="AL9" t="s">
        <v>9</v>
      </c>
      <c r="AM9" t="s">
        <v>9</v>
      </c>
      <c r="AN9" t="s">
        <v>9</v>
      </c>
      <c r="AO9" t="s">
        <v>9</v>
      </c>
      <c r="AP9" t="s">
        <v>9</v>
      </c>
      <c r="AQ9" t="s">
        <v>9</v>
      </c>
      <c r="AR9" t="s">
        <v>9</v>
      </c>
      <c r="AS9" t="s">
        <v>9</v>
      </c>
      <c r="AT9" t="s">
        <v>9</v>
      </c>
      <c r="AU9" t="s">
        <v>9</v>
      </c>
      <c r="AV9" t="s">
        <v>9</v>
      </c>
      <c r="AW9" t="s">
        <v>9</v>
      </c>
      <c r="AX9" t="s">
        <v>9</v>
      </c>
      <c r="AY9" t="s">
        <v>9</v>
      </c>
      <c r="AZ9" t="s">
        <v>9</v>
      </c>
      <c r="BA9" t="s">
        <v>9</v>
      </c>
      <c r="BB9" t="s">
        <v>9</v>
      </c>
      <c r="BC9" t="s">
        <v>9</v>
      </c>
      <c r="BD9" t="s">
        <v>9</v>
      </c>
      <c r="BE9" t="s">
        <v>9</v>
      </c>
      <c r="BF9" t="s">
        <v>9</v>
      </c>
      <c r="BG9" t="s">
        <v>9</v>
      </c>
      <c r="BH9" t="s">
        <v>9</v>
      </c>
      <c r="BI9" t="s">
        <v>9</v>
      </c>
      <c r="BJ9" t="s">
        <v>9</v>
      </c>
    </row>
    <row r="10" spans="1:62">
      <c r="A10" t="s">
        <v>289</v>
      </c>
      <c r="B10" s="133" t="s">
        <v>591</v>
      </c>
      <c r="C10" s="133" t="str">
        <f>IF(COUNTIF(Measure_62443_2_1[[#This Row],[G 0.13 Interception of Compromising Interference Signals]:[IND.3.2.3 Insufficient regulations for the use of OT remote maintenance access]],"X")&gt;0,"X","")</f>
        <v/>
      </c>
      <c r="D10" t="s">
        <v>9</v>
      </c>
      <c r="E10" t="s">
        <v>9</v>
      </c>
      <c r="F10" t="s">
        <v>9</v>
      </c>
      <c r="G10" t="s">
        <v>9</v>
      </c>
      <c r="H10" t="s">
        <v>9</v>
      </c>
      <c r="I10" t="s">
        <v>9</v>
      </c>
      <c r="J10" t="s">
        <v>9</v>
      </c>
      <c r="K10" t="s">
        <v>9</v>
      </c>
      <c r="L10" t="s">
        <v>9</v>
      </c>
      <c r="M10" t="s">
        <v>9</v>
      </c>
      <c r="N10" t="s">
        <v>9</v>
      </c>
      <c r="O10" t="s">
        <v>9</v>
      </c>
      <c r="P10" t="s">
        <v>9</v>
      </c>
      <c r="Q10" t="s">
        <v>9</v>
      </c>
      <c r="R10" t="s">
        <v>9</v>
      </c>
      <c r="S10" t="s">
        <v>9</v>
      </c>
      <c r="T10" t="s">
        <v>9</v>
      </c>
      <c r="U10" t="s">
        <v>9</v>
      </c>
      <c r="V10" t="s">
        <v>9</v>
      </c>
      <c r="W10" t="s">
        <v>9</v>
      </c>
      <c r="X10" t="s">
        <v>9</v>
      </c>
      <c r="Y10" t="s">
        <v>9</v>
      </c>
      <c r="Z10" t="s">
        <v>9</v>
      </c>
      <c r="AA10" t="s">
        <v>9</v>
      </c>
      <c r="AB10" t="s">
        <v>9</v>
      </c>
      <c r="AC10" t="s">
        <v>9</v>
      </c>
      <c r="AD10" t="s">
        <v>9</v>
      </c>
      <c r="AE10" t="s">
        <v>9</v>
      </c>
      <c r="AF10" t="s">
        <v>9</v>
      </c>
      <c r="AG10" t="s">
        <v>9</v>
      </c>
      <c r="AH10" t="s">
        <v>9</v>
      </c>
      <c r="AI10" t="s">
        <v>9</v>
      </c>
      <c r="AJ10" t="s">
        <v>9</v>
      </c>
      <c r="AK10" t="s">
        <v>9</v>
      </c>
      <c r="AL10" t="s">
        <v>9</v>
      </c>
      <c r="AM10" t="s">
        <v>9</v>
      </c>
      <c r="AN10" t="s">
        <v>9</v>
      </c>
      <c r="AO10" t="s">
        <v>9</v>
      </c>
      <c r="AP10" t="s">
        <v>9</v>
      </c>
      <c r="AQ10" t="s">
        <v>9</v>
      </c>
      <c r="AR10" t="s">
        <v>9</v>
      </c>
      <c r="AS10" t="s">
        <v>9</v>
      </c>
      <c r="AT10" t="s">
        <v>9</v>
      </c>
      <c r="AU10" t="s">
        <v>9</v>
      </c>
      <c r="AV10" t="s">
        <v>9</v>
      </c>
      <c r="AW10" t="s">
        <v>9</v>
      </c>
      <c r="AX10" t="s">
        <v>9</v>
      </c>
      <c r="AY10" t="s">
        <v>9</v>
      </c>
      <c r="AZ10" t="s">
        <v>9</v>
      </c>
      <c r="BA10" t="s">
        <v>9</v>
      </c>
      <c r="BB10" t="s">
        <v>9</v>
      </c>
      <c r="BC10" t="s">
        <v>9</v>
      </c>
      <c r="BD10" t="s">
        <v>9</v>
      </c>
      <c r="BE10" t="s">
        <v>9</v>
      </c>
      <c r="BF10" t="s">
        <v>9</v>
      </c>
      <c r="BG10" t="s">
        <v>9</v>
      </c>
      <c r="BH10" t="s">
        <v>9</v>
      </c>
      <c r="BI10" t="s">
        <v>9</v>
      </c>
      <c r="BJ10" t="s">
        <v>9</v>
      </c>
    </row>
    <row r="11" spans="1:62">
      <c r="A11" t="s">
        <v>290</v>
      </c>
      <c r="B11" s="133" t="s">
        <v>591</v>
      </c>
      <c r="C11" s="133" t="str">
        <f>IF(COUNTIF(Measure_62443_2_1[[#This Row],[G 0.13 Interception of Compromising Interference Signals]:[IND.3.2.3 Insufficient regulations for the use of OT remote maintenance access]],"X")&gt;0,"X","")</f>
        <v/>
      </c>
      <c r="D11" t="s">
        <v>9</v>
      </c>
      <c r="E11" t="s">
        <v>9</v>
      </c>
      <c r="F11" t="s">
        <v>9</v>
      </c>
      <c r="G11" t="s">
        <v>9</v>
      </c>
      <c r="H11" t="s">
        <v>9</v>
      </c>
      <c r="I11" t="s">
        <v>9</v>
      </c>
      <c r="J11" t="s">
        <v>9</v>
      </c>
      <c r="K11" t="s">
        <v>9</v>
      </c>
      <c r="L11" t="s">
        <v>9</v>
      </c>
      <c r="M11" t="s">
        <v>9</v>
      </c>
      <c r="N11" t="s">
        <v>9</v>
      </c>
      <c r="O11" t="s">
        <v>9</v>
      </c>
      <c r="P11" t="s">
        <v>9</v>
      </c>
      <c r="Q11" t="s">
        <v>9</v>
      </c>
      <c r="R11" t="s">
        <v>9</v>
      </c>
      <c r="S11" t="s">
        <v>9</v>
      </c>
      <c r="T11" t="s">
        <v>9</v>
      </c>
      <c r="U11" t="s">
        <v>9</v>
      </c>
      <c r="V11" t="s">
        <v>9</v>
      </c>
      <c r="W11" t="s">
        <v>9</v>
      </c>
      <c r="X11" t="s">
        <v>9</v>
      </c>
      <c r="Y11" t="s">
        <v>9</v>
      </c>
      <c r="Z11" t="s">
        <v>9</v>
      </c>
      <c r="AA11" t="s">
        <v>9</v>
      </c>
      <c r="AB11" t="s">
        <v>9</v>
      </c>
      <c r="AC11" t="s">
        <v>9</v>
      </c>
      <c r="AD11" t="s">
        <v>9</v>
      </c>
      <c r="AE11" t="s">
        <v>9</v>
      </c>
      <c r="AF11" t="s">
        <v>9</v>
      </c>
      <c r="AG11" t="s">
        <v>9</v>
      </c>
      <c r="AH11" t="s">
        <v>9</v>
      </c>
      <c r="AI11" t="s">
        <v>9</v>
      </c>
      <c r="AJ11" t="s">
        <v>9</v>
      </c>
      <c r="AK11" t="s">
        <v>9</v>
      </c>
      <c r="AL11" t="s">
        <v>9</v>
      </c>
      <c r="AM11" t="s">
        <v>9</v>
      </c>
      <c r="AN11" t="s">
        <v>9</v>
      </c>
      <c r="AO11" t="s">
        <v>9</v>
      </c>
      <c r="AP11" t="s">
        <v>9</v>
      </c>
      <c r="AQ11" t="s">
        <v>9</v>
      </c>
      <c r="AR11" t="s">
        <v>9</v>
      </c>
      <c r="AS11" t="s">
        <v>9</v>
      </c>
      <c r="AT11" t="s">
        <v>9</v>
      </c>
      <c r="AU11" t="s">
        <v>9</v>
      </c>
      <c r="AV11" t="s">
        <v>9</v>
      </c>
      <c r="AW11" t="s">
        <v>9</v>
      </c>
      <c r="AX11" t="s">
        <v>9</v>
      </c>
      <c r="AY11" t="s">
        <v>9</v>
      </c>
      <c r="AZ11" t="s">
        <v>9</v>
      </c>
      <c r="BA11" t="s">
        <v>9</v>
      </c>
      <c r="BB11" t="s">
        <v>9</v>
      </c>
      <c r="BC11" t="s">
        <v>9</v>
      </c>
      <c r="BD11" t="s">
        <v>9</v>
      </c>
      <c r="BE11" t="s">
        <v>9</v>
      </c>
      <c r="BF11" t="s">
        <v>9</v>
      </c>
      <c r="BG11" t="s">
        <v>9</v>
      </c>
      <c r="BH11" t="s">
        <v>9</v>
      </c>
      <c r="BI11" t="s">
        <v>9</v>
      </c>
      <c r="BJ11" t="s">
        <v>9</v>
      </c>
    </row>
    <row r="12" spans="1:62">
      <c r="A12" t="s">
        <v>291</v>
      </c>
      <c r="B12" s="133" t="s">
        <v>591</v>
      </c>
      <c r="C12" s="133" t="str">
        <f>IF(COUNTIF(Measure_62443_2_1[[#This Row],[G 0.13 Interception of Compromising Interference Signals]:[IND.3.2.3 Insufficient regulations for the use of OT remote maintenance access]],"X")&gt;0,"X","")</f>
        <v/>
      </c>
      <c r="D12" t="s">
        <v>9</v>
      </c>
      <c r="E12" t="s">
        <v>9</v>
      </c>
      <c r="F12" t="s">
        <v>9</v>
      </c>
      <c r="G12" t="s">
        <v>9</v>
      </c>
      <c r="H12" t="s">
        <v>9</v>
      </c>
      <c r="I12" t="s">
        <v>9</v>
      </c>
      <c r="J12" t="s">
        <v>9</v>
      </c>
      <c r="K12" t="s">
        <v>9</v>
      </c>
      <c r="L12" t="s">
        <v>9</v>
      </c>
      <c r="M12" t="s">
        <v>9</v>
      </c>
      <c r="N12" t="s">
        <v>9</v>
      </c>
      <c r="O12" t="s">
        <v>9</v>
      </c>
      <c r="P12" t="s">
        <v>9</v>
      </c>
      <c r="Q12" t="s">
        <v>9</v>
      </c>
      <c r="R12" t="s">
        <v>9</v>
      </c>
      <c r="S12" t="s">
        <v>9</v>
      </c>
      <c r="T12" t="s">
        <v>9</v>
      </c>
      <c r="U12" t="s">
        <v>9</v>
      </c>
      <c r="V12" t="s">
        <v>9</v>
      </c>
      <c r="W12" t="s">
        <v>9</v>
      </c>
      <c r="X12" t="s">
        <v>9</v>
      </c>
      <c r="Y12" t="s">
        <v>9</v>
      </c>
      <c r="Z12" t="s">
        <v>9</v>
      </c>
      <c r="AA12" t="s">
        <v>9</v>
      </c>
      <c r="AB12" t="s">
        <v>9</v>
      </c>
      <c r="AC12" t="s">
        <v>9</v>
      </c>
      <c r="AD12" t="s">
        <v>9</v>
      </c>
      <c r="AE12" t="s">
        <v>9</v>
      </c>
      <c r="AF12" t="s">
        <v>9</v>
      </c>
      <c r="AG12" t="s">
        <v>9</v>
      </c>
      <c r="AH12" t="s">
        <v>9</v>
      </c>
      <c r="AI12" t="s">
        <v>9</v>
      </c>
      <c r="AJ12" t="s">
        <v>9</v>
      </c>
      <c r="AK12" t="s">
        <v>9</v>
      </c>
      <c r="AL12" t="s">
        <v>9</v>
      </c>
      <c r="AM12" t="s">
        <v>9</v>
      </c>
      <c r="AN12" t="s">
        <v>9</v>
      </c>
      <c r="AO12" t="s">
        <v>9</v>
      </c>
      <c r="AP12" t="s">
        <v>9</v>
      </c>
      <c r="AQ12" t="s">
        <v>9</v>
      </c>
      <c r="AR12" t="s">
        <v>9</v>
      </c>
      <c r="AS12" t="s">
        <v>9</v>
      </c>
      <c r="AT12" t="s">
        <v>9</v>
      </c>
      <c r="AU12" t="s">
        <v>9</v>
      </c>
      <c r="AV12" t="s">
        <v>9</v>
      </c>
      <c r="AW12" t="s">
        <v>9</v>
      </c>
      <c r="AX12" t="s">
        <v>9</v>
      </c>
      <c r="AY12" t="s">
        <v>9</v>
      </c>
      <c r="AZ12" t="s">
        <v>9</v>
      </c>
      <c r="BA12" t="s">
        <v>9</v>
      </c>
      <c r="BB12" t="s">
        <v>9</v>
      </c>
      <c r="BC12" t="s">
        <v>9</v>
      </c>
      <c r="BD12" t="s">
        <v>9</v>
      </c>
      <c r="BE12" t="s">
        <v>9</v>
      </c>
      <c r="BF12" t="s">
        <v>9</v>
      </c>
      <c r="BG12" t="s">
        <v>9</v>
      </c>
      <c r="BH12" t="s">
        <v>9</v>
      </c>
      <c r="BI12" t="s">
        <v>9</v>
      </c>
      <c r="BJ12" t="s">
        <v>9</v>
      </c>
    </row>
    <row r="13" spans="1:62">
      <c r="A13" t="s">
        <v>292</v>
      </c>
      <c r="B13" s="133" t="s">
        <v>591</v>
      </c>
      <c r="C13" s="133" t="str">
        <f>IF(COUNTIF(Measure_62443_2_1[[#This Row],[G 0.13 Interception of Compromising Interference Signals]:[IND.3.2.3 Insufficient regulations for the use of OT remote maintenance access]],"X")&gt;0,"X","")</f>
        <v/>
      </c>
      <c r="D13" t="s">
        <v>9</v>
      </c>
      <c r="E13" t="s">
        <v>9</v>
      </c>
      <c r="F13" t="s">
        <v>9</v>
      </c>
      <c r="G13" t="s">
        <v>9</v>
      </c>
      <c r="H13" t="s">
        <v>9</v>
      </c>
      <c r="I13" t="s">
        <v>9</v>
      </c>
      <c r="J13" t="s">
        <v>9</v>
      </c>
      <c r="K13" t="s">
        <v>9</v>
      </c>
      <c r="L13" t="s">
        <v>9</v>
      </c>
      <c r="M13" t="s">
        <v>9</v>
      </c>
      <c r="N13" t="s">
        <v>9</v>
      </c>
      <c r="O13" t="s">
        <v>9</v>
      </c>
      <c r="P13" t="s">
        <v>9</v>
      </c>
      <c r="Q13" t="s">
        <v>9</v>
      </c>
      <c r="R13" t="s">
        <v>9</v>
      </c>
      <c r="S13" t="s">
        <v>9</v>
      </c>
      <c r="T13" t="s">
        <v>9</v>
      </c>
      <c r="U13" t="s">
        <v>9</v>
      </c>
      <c r="V13" t="s">
        <v>9</v>
      </c>
      <c r="W13" t="s">
        <v>9</v>
      </c>
      <c r="X13" t="s">
        <v>9</v>
      </c>
      <c r="Y13" t="s">
        <v>9</v>
      </c>
      <c r="Z13" t="s">
        <v>9</v>
      </c>
      <c r="AA13" t="s">
        <v>9</v>
      </c>
      <c r="AB13" t="s">
        <v>9</v>
      </c>
      <c r="AC13" t="s">
        <v>9</v>
      </c>
      <c r="AD13" t="s">
        <v>9</v>
      </c>
      <c r="AE13" t="s">
        <v>9</v>
      </c>
      <c r="AF13" t="s">
        <v>9</v>
      </c>
      <c r="AG13" t="s">
        <v>9</v>
      </c>
      <c r="AH13" t="s">
        <v>9</v>
      </c>
      <c r="AI13" t="s">
        <v>9</v>
      </c>
      <c r="AJ13" t="s">
        <v>9</v>
      </c>
      <c r="AK13" t="s">
        <v>9</v>
      </c>
      <c r="AL13" t="s">
        <v>9</v>
      </c>
      <c r="AM13" t="s">
        <v>9</v>
      </c>
      <c r="AN13" t="s">
        <v>9</v>
      </c>
      <c r="AO13" t="s">
        <v>9</v>
      </c>
      <c r="AP13" t="s">
        <v>9</v>
      </c>
      <c r="AQ13" t="s">
        <v>9</v>
      </c>
      <c r="AR13" t="s">
        <v>9</v>
      </c>
      <c r="AS13" t="s">
        <v>9</v>
      </c>
      <c r="AT13" t="s">
        <v>9</v>
      </c>
      <c r="AU13" t="s">
        <v>9</v>
      </c>
      <c r="AV13" t="s">
        <v>9</v>
      </c>
      <c r="AW13" t="s">
        <v>9</v>
      </c>
      <c r="AX13" t="s">
        <v>9</v>
      </c>
      <c r="AY13" t="s">
        <v>9</v>
      </c>
      <c r="AZ13" t="s">
        <v>9</v>
      </c>
      <c r="BA13" t="s">
        <v>9</v>
      </c>
      <c r="BB13" t="s">
        <v>9</v>
      </c>
      <c r="BC13" t="s">
        <v>9</v>
      </c>
      <c r="BD13" t="s">
        <v>9</v>
      </c>
      <c r="BE13" t="s">
        <v>9</v>
      </c>
      <c r="BF13" t="s">
        <v>9</v>
      </c>
      <c r="BG13" t="s">
        <v>9</v>
      </c>
      <c r="BH13" t="s">
        <v>9</v>
      </c>
      <c r="BI13" t="s">
        <v>9</v>
      </c>
      <c r="BJ13" t="s">
        <v>9</v>
      </c>
    </row>
    <row r="14" spans="1:62">
      <c r="A14" t="s">
        <v>293</v>
      </c>
      <c r="B14" s="133" t="s">
        <v>591</v>
      </c>
      <c r="C14" s="133" t="str">
        <f>IF(COUNTIF(Measure_62443_2_1[[#This Row],[G 0.13 Interception of Compromising Interference Signals]:[IND.3.2.3 Insufficient regulations for the use of OT remote maintenance access]],"X")&gt;0,"X","")</f>
        <v/>
      </c>
      <c r="D14" t="s">
        <v>9</v>
      </c>
      <c r="E14" t="s">
        <v>9</v>
      </c>
      <c r="F14" t="s">
        <v>9</v>
      </c>
      <c r="G14" t="s">
        <v>9</v>
      </c>
      <c r="H14" t="s">
        <v>9</v>
      </c>
      <c r="I14" t="s">
        <v>9</v>
      </c>
      <c r="J14" t="s">
        <v>9</v>
      </c>
      <c r="K14" t="s">
        <v>9</v>
      </c>
      <c r="L14" t="s">
        <v>9</v>
      </c>
      <c r="M14" t="s">
        <v>9</v>
      </c>
      <c r="N14" t="s">
        <v>9</v>
      </c>
      <c r="O14" t="s">
        <v>9</v>
      </c>
      <c r="P14" t="s">
        <v>9</v>
      </c>
      <c r="Q14" t="s">
        <v>9</v>
      </c>
      <c r="R14" t="s">
        <v>9</v>
      </c>
      <c r="S14" t="s">
        <v>9</v>
      </c>
      <c r="T14" t="s">
        <v>9</v>
      </c>
      <c r="U14" t="s">
        <v>9</v>
      </c>
      <c r="V14" t="s">
        <v>9</v>
      </c>
      <c r="W14" t="s">
        <v>9</v>
      </c>
      <c r="X14" t="s">
        <v>9</v>
      </c>
      <c r="Y14" t="s">
        <v>9</v>
      </c>
      <c r="Z14" t="s">
        <v>9</v>
      </c>
      <c r="AA14" t="s">
        <v>9</v>
      </c>
      <c r="AB14" t="s">
        <v>9</v>
      </c>
      <c r="AC14" t="s">
        <v>9</v>
      </c>
      <c r="AD14" t="s">
        <v>9</v>
      </c>
      <c r="AE14" t="s">
        <v>9</v>
      </c>
      <c r="AF14" t="s">
        <v>9</v>
      </c>
      <c r="AG14" t="s">
        <v>9</v>
      </c>
      <c r="AH14" t="s">
        <v>9</v>
      </c>
      <c r="AI14" t="s">
        <v>9</v>
      </c>
      <c r="AJ14" t="s">
        <v>9</v>
      </c>
      <c r="AK14" t="s">
        <v>9</v>
      </c>
      <c r="AL14" t="s">
        <v>9</v>
      </c>
      <c r="AM14" t="s">
        <v>9</v>
      </c>
      <c r="AN14" t="s">
        <v>9</v>
      </c>
      <c r="AO14" t="s">
        <v>9</v>
      </c>
      <c r="AP14" t="s">
        <v>9</v>
      </c>
      <c r="AQ14" t="s">
        <v>9</v>
      </c>
      <c r="AR14" t="s">
        <v>9</v>
      </c>
      <c r="AS14" t="s">
        <v>9</v>
      </c>
      <c r="AT14" t="s">
        <v>9</v>
      </c>
      <c r="AU14" t="s">
        <v>9</v>
      </c>
      <c r="AV14" t="s">
        <v>9</v>
      </c>
      <c r="AW14" t="s">
        <v>9</v>
      </c>
      <c r="AX14" t="s">
        <v>9</v>
      </c>
      <c r="AY14" t="s">
        <v>9</v>
      </c>
      <c r="AZ14" t="s">
        <v>9</v>
      </c>
      <c r="BA14" t="s">
        <v>9</v>
      </c>
      <c r="BB14" t="s">
        <v>9</v>
      </c>
      <c r="BC14" t="s">
        <v>9</v>
      </c>
      <c r="BD14" t="s">
        <v>9</v>
      </c>
      <c r="BE14" t="s">
        <v>9</v>
      </c>
      <c r="BF14" t="s">
        <v>9</v>
      </c>
      <c r="BG14" t="s">
        <v>9</v>
      </c>
      <c r="BH14" t="s">
        <v>9</v>
      </c>
      <c r="BI14" t="s">
        <v>9</v>
      </c>
      <c r="BJ14" t="s">
        <v>9</v>
      </c>
    </row>
    <row r="15" spans="1:62">
      <c r="A15" t="s">
        <v>294</v>
      </c>
      <c r="B15" s="133" t="s">
        <v>591</v>
      </c>
      <c r="C15" s="133" t="str">
        <f>IF(COUNTIF(Measure_62443_2_1[[#This Row],[G 0.13 Interception of Compromising Interference Signals]:[IND.3.2.3 Insufficient regulations for the use of OT remote maintenance access]],"X")&gt;0,"X","")</f>
        <v/>
      </c>
      <c r="D15" t="s">
        <v>9</v>
      </c>
      <c r="E15" t="s">
        <v>9</v>
      </c>
      <c r="F15" t="s">
        <v>9</v>
      </c>
      <c r="G15" t="s">
        <v>9</v>
      </c>
      <c r="H15" t="s">
        <v>9</v>
      </c>
      <c r="I15" t="s">
        <v>9</v>
      </c>
      <c r="J15" t="s">
        <v>9</v>
      </c>
      <c r="K15" t="s">
        <v>9</v>
      </c>
      <c r="L15" t="s">
        <v>9</v>
      </c>
      <c r="M15" t="s">
        <v>9</v>
      </c>
      <c r="N15" t="s">
        <v>9</v>
      </c>
      <c r="O15" t="s">
        <v>9</v>
      </c>
      <c r="P15" t="s">
        <v>9</v>
      </c>
      <c r="Q15" t="s">
        <v>9</v>
      </c>
      <c r="R15" t="s">
        <v>9</v>
      </c>
      <c r="S15" t="s">
        <v>9</v>
      </c>
      <c r="T15" t="s">
        <v>9</v>
      </c>
      <c r="U15" t="s">
        <v>9</v>
      </c>
      <c r="V15" t="s">
        <v>9</v>
      </c>
      <c r="W15" t="s">
        <v>9</v>
      </c>
      <c r="X15" t="s">
        <v>9</v>
      </c>
      <c r="Y15" t="s">
        <v>9</v>
      </c>
      <c r="Z15" t="s">
        <v>9</v>
      </c>
      <c r="AA15" t="s">
        <v>9</v>
      </c>
      <c r="AB15" t="s">
        <v>9</v>
      </c>
      <c r="AC15" t="s">
        <v>9</v>
      </c>
      <c r="AD15" t="s">
        <v>9</v>
      </c>
      <c r="AE15" t="s">
        <v>9</v>
      </c>
      <c r="AF15" t="s">
        <v>9</v>
      </c>
      <c r="AG15" t="s">
        <v>9</v>
      </c>
      <c r="AH15" t="s">
        <v>9</v>
      </c>
      <c r="AI15" t="s">
        <v>9</v>
      </c>
      <c r="AJ15" t="s">
        <v>9</v>
      </c>
      <c r="AK15" t="s">
        <v>9</v>
      </c>
      <c r="AL15" t="s">
        <v>9</v>
      </c>
      <c r="AM15" t="s">
        <v>9</v>
      </c>
      <c r="AN15" t="s">
        <v>9</v>
      </c>
      <c r="AO15" t="s">
        <v>9</v>
      </c>
      <c r="AP15" t="s">
        <v>9</v>
      </c>
      <c r="AQ15" t="s">
        <v>9</v>
      </c>
      <c r="AR15" t="s">
        <v>9</v>
      </c>
      <c r="AS15" t="s">
        <v>9</v>
      </c>
      <c r="AT15" t="s">
        <v>9</v>
      </c>
      <c r="AU15" t="s">
        <v>9</v>
      </c>
      <c r="AV15" t="s">
        <v>9</v>
      </c>
      <c r="AW15" t="s">
        <v>9</v>
      </c>
      <c r="AX15" t="s">
        <v>9</v>
      </c>
      <c r="AY15" t="s">
        <v>9</v>
      </c>
      <c r="AZ15" t="s">
        <v>9</v>
      </c>
      <c r="BA15" t="s">
        <v>9</v>
      </c>
      <c r="BB15" t="s">
        <v>9</v>
      </c>
      <c r="BC15" t="s">
        <v>9</v>
      </c>
      <c r="BD15" t="s">
        <v>9</v>
      </c>
      <c r="BE15" t="s">
        <v>9</v>
      </c>
      <c r="BF15" t="s">
        <v>9</v>
      </c>
      <c r="BG15" t="s">
        <v>9</v>
      </c>
      <c r="BH15" t="s">
        <v>9</v>
      </c>
      <c r="BI15" t="s">
        <v>9</v>
      </c>
      <c r="BJ15" t="s">
        <v>9</v>
      </c>
    </row>
    <row r="16" spans="1:62">
      <c r="A16" t="s">
        <v>295</v>
      </c>
      <c r="B16" s="133" t="s">
        <v>591</v>
      </c>
      <c r="C16" s="133" t="str">
        <f>IF(COUNTIF(Measure_62443_2_1[[#This Row],[G 0.13 Interception of Compromising Interference Signals]:[IND.3.2.3 Insufficient regulations for the use of OT remote maintenance access]],"X")&gt;0,"X","")</f>
        <v/>
      </c>
      <c r="D16" t="s">
        <v>9</v>
      </c>
      <c r="E16" t="s">
        <v>9</v>
      </c>
      <c r="F16" t="s">
        <v>9</v>
      </c>
      <c r="G16" t="s">
        <v>9</v>
      </c>
      <c r="H16" t="s">
        <v>9</v>
      </c>
      <c r="I16" t="s">
        <v>9</v>
      </c>
      <c r="J16" t="s">
        <v>9</v>
      </c>
      <c r="K16" t="s">
        <v>9</v>
      </c>
      <c r="L16" t="s">
        <v>9</v>
      </c>
      <c r="M16" t="s">
        <v>9</v>
      </c>
      <c r="N16" t="s">
        <v>9</v>
      </c>
      <c r="O16" t="s">
        <v>9</v>
      </c>
      <c r="P16" t="s">
        <v>9</v>
      </c>
      <c r="Q16" t="s">
        <v>9</v>
      </c>
      <c r="R16" t="s">
        <v>9</v>
      </c>
      <c r="S16" t="s">
        <v>9</v>
      </c>
      <c r="T16" t="s">
        <v>9</v>
      </c>
      <c r="U16" t="s">
        <v>9</v>
      </c>
      <c r="V16" t="s">
        <v>9</v>
      </c>
      <c r="W16" t="s">
        <v>9</v>
      </c>
      <c r="X16" t="s">
        <v>9</v>
      </c>
      <c r="Y16" t="s">
        <v>9</v>
      </c>
      <c r="Z16" t="s">
        <v>9</v>
      </c>
      <c r="AA16" t="s">
        <v>9</v>
      </c>
      <c r="AB16" t="s">
        <v>9</v>
      </c>
      <c r="AC16" t="s">
        <v>9</v>
      </c>
      <c r="AD16" t="s">
        <v>9</v>
      </c>
      <c r="AE16" t="s">
        <v>9</v>
      </c>
      <c r="AF16" t="s">
        <v>9</v>
      </c>
      <c r="AG16" t="s">
        <v>9</v>
      </c>
      <c r="AH16" t="s">
        <v>9</v>
      </c>
      <c r="AI16" t="s">
        <v>9</v>
      </c>
      <c r="AJ16" t="s">
        <v>9</v>
      </c>
      <c r="AK16" t="s">
        <v>9</v>
      </c>
      <c r="AL16" t="s">
        <v>9</v>
      </c>
      <c r="AM16" t="s">
        <v>9</v>
      </c>
      <c r="AN16" t="s">
        <v>9</v>
      </c>
      <c r="AO16" t="s">
        <v>9</v>
      </c>
      <c r="AP16" t="s">
        <v>9</v>
      </c>
      <c r="AQ16" t="s">
        <v>9</v>
      </c>
      <c r="AR16" t="s">
        <v>9</v>
      </c>
      <c r="AS16" t="s">
        <v>9</v>
      </c>
      <c r="AT16" t="s">
        <v>9</v>
      </c>
      <c r="AU16" t="s">
        <v>9</v>
      </c>
      <c r="AV16" t="s">
        <v>9</v>
      </c>
      <c r="AW16" t="s">
        <v>9</v>
      </c>
      <c r="AX16" t="s">
        <v>9</v>
      </c>
      <c r="AY16" t="s">
        <v>9</v>
      </c>
      <c r="AZ16" t="s">
        <v>9</v>
      </c>
      <c r="BA16" t="s">
        <v>9</v>
      </c>
      <c r="BB16" t="s">
        <v>9</v>
      </c>
      <c r="BC16" t="s">
        <v>9</v>
      </c>
      <c r="BD16" t="s">
        <v>9</v>
      </c>
      <c r="BE16" t="s">
        <v>9</v>
      </c>
      <c r="BF16" t="s">
        <v>9</v>
      </c>
      <c r="BG16" t="s">
        <v>9</v>
      </c>
      <c r="BH16" t="s">
        <v>9</v>
      </c>
      <c r="BI16" t="s">
        <v>9</v>
      </c>
      <c r="BJ16" t="s">
        <v>9</v>
      </c>
    </row>
    <row r="17" spans="1:62">
      <c r="A17" t="s">
        <v>296</v>
      </c>
      <c r="B17" s="133" t="s">
        <v>591</v>
      </c>
      <c r="C17" s="133" t="str">
        <f>IF(COUNTIF(Measure_62443_2_1[[#This Row],[G 0.13 Interception of Compromising Interference Signals]:[IND.3.2.3 Insufficient regulations for the use of OT remote maintenance access]],"X")&gt;0,"X","")</f>
        <v/>
      </c>
      <c r="D17" t="s">
        <v>9</v>
      </c>
      <c r="E17" t="s">
        <v>9</v>
      </c>
      <c r="F17" t="s">
        <v>9</v>
      </c>
      <c r="G17" t="s">
        <v>9</v>
      </c>
      <c r="H17" t="s">
        <v>9</v>
      </c>
      <c r="I17" t="s">
        <v>9</v>
      </c>
      <c r="J17" t="s">
        <v>9</v>
      </c>
      <c r="K17" t="s">
        <v>9</v>
      </c>
      <c r="L17" t="s">
        <v>9</v>
      </c>
      <c r="M17" t="s">
        <v>9</v>
      </c>
      <c r="N17" t="s">
        <v>9</v>
      </c>
      <c r="O17" t="s">
        <v>9</v>
      </c>
      <c r="P17" t="s">
        <v>9</v>
      </c>
      <c r="Q17" t="s">
        <v>9</v>
      </c>
      <c r="R17" t="s">
        <v>9</v>
      </c>
      <c r="S17" t="s">
        <v>9</v>
      </c>
      <c r="T17" t="s">
        <v>9</v>
      </c>
      <c r="U17" t="s">
        <v>9</v>
      </c>
      <c r="V17" t="s">
        <v>9</v>
      </c>
      <c r="W17" t="s">
        <v>9</v>
      </c>
      <c r="X17" t="s">
        <v>9</v>
      </c>
      <c r="Y17" t="s">
        <v>9</v>
      </c>
      <c r="Z17" t="s">
        <v>9</v>
      </c>
      <c r="AA17" t="s">
        <v>9</v>
      </c>
      <c r="AB17" t="s">
        <v>9</v>
      </c>
      <c r="AC17" t="s">
        <v>9</v>
      </c>
      <c r="AD17" t="s">
        <v>9</v>
      </c>
      <c r="AE17" t="s">
        <v>9</v>
      </c>
      <c r="AF17" t="s">
        <v>9</v>
      </c>
      <c r="AG17" t="s">
        <v>9</v>
      </c>
      <c r="AH17" t="s">
        <v>9</v>
      </c>
      <c r="AI17" t="s">
        <v>9</v>
      </c>
      <c r="AJ17" t="s">
        <v>9</v>
      </c>
      <c r="AK17" t="s">
        <v>9</v>
      </c>
      <c r="AL17" t="s">
        <v>9</v>
      </c>
      <c r="AM17" t="s">
        <v>9</v>
      </c>
      <c r="AN17" t="s">
        <v>9</v>
      </c>
      <c r="AO17" t="s">
        <v>9</v>
      </c>
      <c r="AP17" t="s">
        <v>9</v>
      </c>
      <c r="AQ17" t="s">
        <v>9</v>
      </c>
      <c r="AR17" t="s">
        <v>9</v>
      </c>
      <c r="AS17" t="s">
        <v>9</v>
      </c>
      <c r="AT17" t="s">
        <v>9</v>
      </c>
      <c r="AU17" t="s">
        <v>9</v>
      </c>
      <c r="AV17" t="s">
        <v>9</v>
      </c>
      <c r="AW17" t="s">
        <v>9</v>
      </c>
      <c r="AX17" t="s">
        <v>9</v>
      </c>
      <c r="AY17" t="s">
        <v>9</v>
      </c>
      <c r="AZ17" t="s">
        <v>9</v>
      </c>
      <c r="BA17" t="s">
        <v>9</v>
      </c>
      <c r="BB17" t="s">
        <v>9</v>
      </c>
      <c r="BC17" t="s">
        <v>9</v>
      </c>
      <c r="BD17" t="s">
        <v>9</v>
      </c>
      <c r="BE17" t="s">
        <v>9</v>
      </c>
      <c r="BF17" t="s">
        <v>9</v>
      </c>
      <c r="BG17" t="s">
        <v>9</v>
      </c>
      <c r="BH17" t="s">
        <v>9</v>
      </c>
      <c r="BI17" t="s">
        <v>9</v>
      </c>
      <c r="BJ17" t="s">
        <v>9</v>
      </c>
    </row>
    <row r="18" spans="1:62">
      <c r="A18" t="s">
        <v>297</v>
      </c>
      <c r="B18" s="133" t="s">
        <v>591</v>
      </c>
      <c r="C18" s="133" t="str">
        <f>IF(COUNTIF(Measure_62443_2_1[[#This Row],[G 0.13 Interception of Compromising Interference Signals]:[IND.3.2.3 Insufficient regulations for the use of OT remote maintenance access]],"X")&gt;0,"X","")</f>
        <v/>
      </c>
      <c r="D18" t="s">
        <v>9</v>
      </c>
      <c r="E18" t="s">
        <v>9</v>
      </c>
      <c r="F18" t="s">
        <v>9</v>
      </c>
      <c r="G18" t="s">
        <v>9</v>
      </c>
      <c r="H18" t="s">
        <v>9</v>
      </c>
      <c r="I18" t="s">
        <v>9</v>
      </c>
      <c r="J18" t="s">
        <v>9</v>
      </c>
      <c r="K18" t="s">
        <v>9</v>
      </c>
      <c r="L18" t="s">
        <v>9</v>
      </c>
      <c r="M18" t="s">
        <v>9</v>
      </c>
      <c r="N18" t="s">
        <v>9</v>
      </c>
      <c r="O18" t="s">
        <v>9</v>
      </c>
      <c r="P18" t="s">
        <v>9</v>
      </c>
      <c r="Q18" t="s">
        <v>9</v>
      </c>
      <c r="R18" t="s">
        <v>9</v>
      </c>
      <c r="S18" t="s">
        <v>9</v>
      </c>
      <c r="T18" t="s">
        <v>9</v>
      </c>
      <c r="U18" t="s">
        <v>9</v>
      </c>
      <c r="V18" t="s">
        <v>9</v>
      </c>
      <c r="W18" t="s">
        <v>9</v>
      </c>
      <c r="X18" t="s">
        <v>9</v>
      </c>
      <c r="Y18" t="s">
        <v>9</v>
      </c>
      <c r="Z18" t="s">
        <v>9</v>
      </c>
      <c r="AA18" t="s">
        <v>9</v>
      </c>
      <c r="AB18" t="s">
        <v>9</v>
      </c>
      <c r="AC18" t="s">
        <v>9</v>
      </c>
      <c r="AD18" t="s">
        <v>9</v>
      </c>
      <c r="AE18" t="s">
        <v>9</v>
      </c>
      <c r="AF18" t="s">
        <v>9</v>
      </c>
      <c r="AG18" t="s">
        <v>9</v>
      </c>
      <c r="AH18" t="s">
        <v>9</v>
      </c>
      <c r="AI18" t="s">
        <v>9</v>
      </c>
      <c r="AJ18" t="s">
        <v>9</v>
      </c>
      <c r="AK18" t="s">
        <v>9</v>
      </c>
      <c r="AL18" t="s">
        <v>9</v>
      </c>
      <c r="AM18" t="s">
        <v>9</v>
      </c>
      <c r="AN18" t="s">
        <v>9</v>
      </c>
      <c r="AO18" t="s">
        <v>9</v>
      </c>
      <c r="AP18" t="s">
        <v>9</v>
      </c>
      <c r="AQ18" t="s">
        <v>9</v>
      </c>
      <c r="AR18" t="s">
        <v>9</v>
      </c>
      <c r="AS18" t="s">
        <v>9</v>
      </c>
      <c r="AT18" t="s">
        <v>9</v>
      </c>
      <c r="AU18" t="s">
        <v>9</v>
      </c>
      <c r="AV18" t="s">
        <v>9</v>
      </c>
      <c r="AW18" t="s">
        <v>9</v>
      </c>
      <c r="AX18" t="s">
        <v>9</v>
      </c>
      <c r="AY18" t="s">
        <v>9</v>
      </c>
      <c r="AZ18" t="s">
        <v>9</v>
      </c>
      <c r="BA18" t="s">
        <v>9</v>
      </c>
      <c r="BB18" t="s">
        <v>9</v>
      </c>
      <c r="BC18" t="s">
        <v>9</v>
      </c>
      <c r="BD18" t="s">
        <v>9</v>
      </c>
      <c r="BE18" t="s">
        <v>9</v>
      </c>
      <c r="BF18" t="s">
        <v>9</v>
      </c>
      <c r="BG18" t="s">
        <v>9</v>
      </c>
      <c r="BH18" t="s">
        <v>9</v>
      </c>
      <c r="BI18" t="s">
        <v>9</v>
      </c>
      <c r="BJ18" t="s">
        <v>9</v>
      </c>
    </row>
    <row r="19" spans="1:62">
      <c r="A19" t="s">
        <v>298</v>
      </c>
      <c r="B19" s="133" t="s">
        <v>591</v>
      </c>
      <c r="C19" s="133" t="str">
        <f>IF(COUNTIF(Measure_62443_2_1[[#This Row],[G 0.13 Interception of Compromising Interference Signals]:[IND.3.2.3 Insufficient regulations for the use of OT remote maintenance access]],"X")&gt;0,"X","")</f>
        <v/>
      </c>
      <c r="D19" t="s">
        <v>9</v>
      </c>
      <c r="E19" t="s">
        <v>9</v>
      </c>
      <c r="F19" t="s">
        <v>9</v>
      </c>
      <c r="G19" t="s">
        <v>9</v>
      </c>
      <c r="H19" t="s">
        <v>9</v>
      </c>
      <c r="I19" t="s">
        <v>9</v>
      </c>
      <c r="J19" t="s">
        <v>9</v>
      </c>
      <c r="K19" t="s">
        <v>9</v>
      </c>
      <c r="L19" t="s">
        <v>9</v>
      </c>
      <c r="M19" t="s">
        <v>9</v>
      </c>
      <c r="N19" t="s">
        <v>9</v>
      </c>
      <c r="O19" t="s">
        <v>9</v>
      </c>
      <c r="P19" t="s">
        <v>9</v>
      </c>
      <c r="Q19" t="s">
        <v>9</v>
      </c>
      <c r="R19" t="s">
        <v>9</v>
      </c>
      <c r="S19" t="s">
        <v>9</v>
      </c>
      <c r="T19" t="s">
        <v>9</v>
      </c>
      <c r="U19" t="s">
        <v>9</v>
      </c>
      <c r="V19" t="s">
        <v>9</v>
      </c>
      <c r="W19" t="s">
        <v>9</v>
      </c>
      <c r="X19" t="s">
        <v>9</v>
      </c>
      <c r="Y19" t="s">
        <v>9</v>
      </c>
      <c r="Z19" t="s">
        <v>9</v>
      </c>
      <c r="AA19" t="s">
        <v>9</v>
      </c>
      <c r="AB19" t="s">
        <v>9</v>
      </c>
      <c r="AC19" t="s">
        <v>9</v>
      </c>
      <c r="AD19" t="s">
        <v>9</v>
      </c>
      <c r="AE19" t="s">
        <v>9</v>
      </c>
      <c r="AF19" t="s">
        <v>9</v>
      </c>
      <c r="AG19" t="s">
        <v>9</v>
      </c>
      <c r="AH19" t="s">
        <v>9</v>
      </c>
      <c r="AI19" t="s">
        <v>9</v>
      </c>
      <c r="AJ19" t="s">
        <v>9</v>
      </c>
      <c r="AK19" t="s">
        <v>9</v>
      </c>
      <c r="AL19" t="s">
        <v>9</v>
      </c>
      <c r="AM19" t="s">
        <v>9</v>
      </c>
      <c r="AN19" t="s">
        <v>9</v>
      </c>
      <c r="AO19" t="s">
        <v>9</v>
      </c>
      <c r="AP19" t="s">
        <v>9</v>
      </c>
      <c r="AQ19" t="s">
        <v>9</v>
      </c>
      <c r="AR19" t="s">
        <v>9</v>
      </c>
      <c r="AS19" t="s">
        <v>9</v>
      </c>
      <c r="AT19" t="s">
        <v>9</v>
      </c>
      <c r="AU19" t="s">
        <v>9</v>
      </c>
      <c r="AV19" t="s">
        <v>9</v>
      </c>
      <c r="AW19" t="s">
        <v>9</v>
      </c>
      <c r="AX19" t="s">
        <v>9</v>
      </c>
      <c r="AY19" t="s">
        <v>9</v>
      </c>
      <c r="AZ19" t="s">
        <v>9</v>
      </c>
      <c r="BA19" t="s">
        <v>9</v>
      </c>
      <c r="BB19" t="s">
        <v>9</v>
      </c>
      <c r="BC19" t="s">
        <v>9</v>
      </c>
      <c r="BD19" t="s">
        <v>9</v>
      </c>
      <c r="BE19" t="s">
        <v>9</v>
      </c>
      <c r="BF19" t="s">
        <v>9</v>
      </c>
      <c r="BG19" t="s">
        <v>9</v>
      </c>
      <c r="BH19" t="s">
        <v>9</v>
      </c>
      <c r="BI19" t="s">
        <v>9</v>
      </c>
      <c r="BJ19" t="s">
        <v>9</v>
      </c>
    </row>
    <row r="20" spans="1:62">
      <c r="A20" t="s">
        <v>299</v>
      </c>
      <c r="B20" s="133" t="s">
        <v>591</v>
      </c>
      <c r="C20" s="133" t="str">
        <f>IF(COUNTIF(Measure_62443_2_1[[#This Row],[G 0.13 Interception of Compromising Interference Signals]:[IND.3.2.3 Insufficient regulations for the use of OT remote maintenance access]],"X")&gt;0,"X","")</f>
        <v/>
      </c>
      <c r="D20" t="s">
        <v>9</v>
      </c>
      <c r="E20" t="s">
        <v>9</v>
      </c>
      <c r="F20" t="s">
        <v>9</v>
      </c>
      <c r="G20" t="s">
        <v>9</v>
      </c>
      <c r="H20" t="s">
        <v>9</v>
      </c>
      <c r="I20" t="s">
        <v>9</v>
      </c>
      <c r="J20" t="s">
        <v>9</v>
      </c>
      <c r="K20" t="s">
        <v>9</v>
      </c>
      <c r="L20" t="s">
        <v>9</v>
      </c>
      <c r="M20" t="s">
        <v>9</v>
      </c>
      <c r="N20" t="s">
        <v>9</v>
      </c>
      <c r="O20" t="s">
        <v>9</v>
      </c>
      <c r="P20" t="s">
        <v>9</v>
      </c>
      <c r="Q20" t="s">
        <v>9</v>
      </c>
      <c r="R20" t="s">
        <v>9</v>
      </c>
      <c r="S20" t="s">
        <v>9</v>
      </c>
      <c r="T20" t="s">
        <v>9</v>
      </c>
      <c r="U20" t="s">
        <v>9</v>
      </c>
      <c r="V20" t="s">
        <v>9</v>
      </c>
      <c r="W20" t="s">
        <v>9</v>
      </c>
      <c r="X20" t="s">
        <v>9</v>
      </c>
      <c r="Y20" t="s">
        <v>9</v>
      </c>
      <c r="Z20" t="s">
        <v>9</v>
      </c>
      <c r="AA20" t="s">
        <v>9</v>
      </c>
      <c r="AB20" t="s">
        <v>9</v>
      </c>
      <c r="AC20" t="s">
        <v>9</v>
      </c>
      <c r="AD20" t="s">
        <v>9</v>
      </c>
      <c r="AE20" t="s">
        <v>9</v>
      </c>
      <c r="AF20" t="s">
        <v>9</v>
      </c>
      <c r="AG20" t="s">
        <v>9</v>
      </c>
      <c r="AH20" t="s">
        <v>9</v>
      </c>
      <c r="AI20" t="s">
        <v>9</v>
      </c>
      <c r="AJ20" t="s">
        <v>9</v>
      </c>
      <c r="AK20" t="s">
        <v>9</v>
      </c>
      <c r="AL20" t="s">
        <v>9</v>
      </c>
      <c r="AM20" t="s">
        <v>9</v>
      </c>
      <c r="AN20" t="s">
        <v>9</v>
      </c>
      <c r="AO20" t="s">
        <v>9</v>
      </c>
      <c r="AP20" t="s">
        <v>9</v>
      </c>
      <c r="AQ20" t="s">
        <v>9</v>
      </c>
      <c r="AR20" t="s">
        <v>9</v>
      </c>
      <c r="AS20" t="s">
        <v>9</v>
      </c>
      <c r="AT20" t="s">
        <v>9</v>
      </c>
      <c r="AU20" t="s">
        <v>9</v>
      </c>
      <c r="AV20" t="s">
        <v>9</v>
      </c>
      <c r="AW20" t="s">
        <v>9</v>
      </c>
      <c r="AX20" t="s">
        <v>9</v>
      </c>
      <c r="AY20" t="s">
        <v>9</v>
      </c>
      <c r="AZ20" t="s">
        <v>9</v>
      </c>
      <c r="BA20" t="s">
        <v>9</v>
      </c>
      <c r="BB20" t="s">
        <v>9</v>
      </c>
      <c r="BC20" t="s">
        <v>9</v>
      </c>
      <c r="BD20" t="s">
        <v>9</v>
      </c>
      <c r="BE20" t="s">
        <v>9</v>
      </c>
      <c r="BF20" t="s">
        <v>9</v>
      </c>
      <c r="BG20" t="s">
        <v>9</v>
      </c>
      <c r="BH20" t="s">
        <v>9</v>
      </c>
      <c r="BI20" t="s">
        <v>9</v>
      </c>
      <c r="BJ20" t="s">
        <v>9</v>
      </c>
    </row>
    <row r="21" spans="1:62">
      <c r="A21" t="s">
        <v>300</v>
      </c>
      <c r="B21" s="133" t="s">
        <v>591</v>
      </c>
      <c r="C21" s="133" t="str">
        <f>IF(COUNTIF(Measure_62443_2_1[[#This Row],[G 0.13 Interception of Compromising Interference Signals]:[IND.3.2.3 Insufficient regulations for the use of OT remote maintenance access]],"X")&gt;0,"X","")</f>
        <v/>
      </c>
      <c r="D21" t="s">
        <v>9</v>
      </c>
      <c r="E21" t="s">
        <v>9</v>
      </c>
      <c r="F21" t="s">
        <v>9</v>
      </c>
      <c r="G21" t="s">
        <v>9</v>
      </c>
      <c r="H21" t="s">
        <v>9</v>
      </c>
      <c r="I21" t="s">
        <v>9</v>
      </c>
      <c r="J21" t="s">
        <v>9</v>
      </c>
      <c r="K21" t="s">
        <v>9</v>
      </c>
      <c r="L21" t="s">
        <v>9</v>
      </c>
      <c r="M21" t="s">
        <v>9</v>
      </c>
      <c r="N21" t="s">
        <v>9</v>
      </c>
      <c r="O21" t="s">
        <v>9</v>
      </c>
      <c r="P21" t="s">
        <v>9</v>
      </c>
      <c r="Q21" t="s">
        <v>9</v>
      </c>
      <c r="R21" t="s">
        <v>9</v>
      </c>
      <c r="S21" t="s">
        <v>9</v>
      </c>
      <c r="T21" t="s">
        <v>9</v>
      </c>
      <c r="U21" t="s">
        <v>9</v>
      </c>
      <c r="V21" t="s">
        <v>9</v>
      </c>
      <c r="W21" t="s">
        <v>9</v>
      </c>
      <c r="X21" t="s">
        <v>9</v>
      </c>
      <c r="Y21" t="s">
        <v>9</v>
      </c>
      <c r="Z21" t="s">
        <v>9</v>
      </c>
      <c r="AA21" t="s">
        <v>9</v>
      </c>
      <c r="AB21" t="s">
        <v>9</v>
      </c>
      <c r="AC21" t="s">
        <v>9</v>
      </c>
      <c r="AD21" t="s">
        <v>9</v>
      </c>
      <c r="AE21" t="s">
        <v>9</v>
      </c>
      <c r="AF21" t="s">
        <v>9</v>
      </c>
      <c r="AG21" t="s">
        <v>9</v>
      </c>
      <c r="AH21" t="s">
        <v>9</v>
      </c>
      <c r="AI21" t="s">
        <v>9</v>
      </c>
      <c r="AJ21" t="s">
        <v>9</v>
      </c>
      <c r="AK21" t="s">
        <v>9</v>
      </c>
      <c r="AL21" t="s">
        <v>9</v>
      </c>
      <c r="AM21" t="s">
        <v>9</v>
      </c>
      <c r="AN21" t="s">
        <v>9</v>
      </c>
      <c r="AO21" t="s">
        <v>9</v>
      </c>
      <c r="AP21" t="s">
        <v>9</v>
      </c>
      <c r="AQ21" t="s">
        <v>9</v>
      </c>
      <c r="AR21" t="s">
        <v>9</v>
      </c>
      <c r="AS21" t="s">
        <v>9</v>
      </c>
      <c r="AT21" t="s">
        <v>9</v>
      </c>
      <c r="AU21" t="s">
        <v>9</v>
      </c>
      <c r="AV21" t="s">
        <v>9</v>
      </c>
      <c r="AW21" t="s">
        <v>9</v>
      </c>
      <c r="AX21" t="s">
        <v>9</v>
      </c>
      <c r="AY21" t="s">
        <v>9</v>
      </c>
      <c r="AZ21" t="s">
        <v>9</v>
      </c>
      <c r="BA21" t="s">
        <v>9</v>
      </c>
      <c r="BB21" t="s">
        <v>9</v>
      </c>
      <c r="BC21" t="s">
        <v>9</v>
      </c>
      <c r="BD21" t="s">
        <v>9</v>
      </c>
      <c r="BE21" t="s">
        <v>9</v>
      </c>
      <c r="BF21" t="s">
        <v>9</v>
      </c>
      <c r="BG21" t="s">
        <v>9</v>
      </c>
      <c r="BH21" t="s">
        <v>9</v>
      </c>
      <c r="BI21" t="s">
        <v>9</v>
      </c>
      <c r="BJ21" t="s">
        <v>9</v>
      </c>
    </row>
    <row r="22" spans="1:62">
      <c r="A22" t="s">
        <v>301</v>
      </c>
      <c r="B22" s="133" t="s">
        <v>591</v>
      </c>
      <c r="C22" s="133" t="str">
        <f>IF(COUNTIF(Measure_62443_2_1[[#This Row],[G 0.13 Interception of Compromising Interference Signals]:[IND.3.2.3 Insufficient regulations for the use of OT remote maintenance access]],"X")&gt;0,"X","")</f>
        <v/>
      </c>
      <c r="D22" t="s">
        <v>9</v>
      </c>
      <c r="E22" t="s">
        <v>9</v>
      </c>
      <c r="F22" t="s">
        <v>9</v>
      </c>
      <c r="G22" t="s">
        <v>9</v>
      </c>
      <c r="H22" t="s">
        <v>9</v>
      </c>
      <c r="I22" t="s">
        <v>9</v>
      </c>
      <c r="J22" t="s">
        <v>9</v>
      </c>
      <c r="K22" t="s">
        <v>9</v>
      </c>
      <c r="L22" t="s">
        <v>9</v>
      </c>
      <c r="M22" t="s">
        <v>9</v>
      </c>
      <c r="N22" t="s">
        <v>9</v>
      </c>
      <c r="O22" t="s">
        <v>9</v>
      </c>
      <c r="P22" t="s">
        <v>9</v>
      </c>
      <c r="Q22" t="s">
        <v>9</v>
      </c>
      <c r="R22" t="s">
        <v>9</v>
      </c>
      <c r="S22" t="s">
        <v>9</v>
      </c>
      <c r="T22" t="s">
        <v>9</v>
      </c>
      <c r="U22" t="s">
        <v>9</v>
      </c>
      <c r="V22" t="s">
        <v>9</v>
      </c>
      <c r="W22" t="s">
        <v>9</v>
      </c>
      <c r="X22" t="s">
        <v>9</v>
      </c>
      <c r="Y22" t="s">
        <v>9</v>
      </c>
      <c r="Z22" t="s">
        <v>9</v>
      </c>
      <c r="AA22" t="s">
        <v>9</v>
      </c>
      <c r="AB22" t="s">
        <v>9</v>
      </c>
      <c r="AC22" t="s">
        <v>9</v>
      </c>
      <c r="AD22" t="s">
        <v>9</v>
      </c>
      <c r="AE22" t="s">
        <v>9</v>
      </c>
      <c r="AF22" t="s">
        <v>9</v>
      </c>
      <c r="AG22" t="s">
        <v>9</v>
      </c>
      <c r="AH22" t="s">
        <v>9</v>
      </c>
      <c r="AI22" t="s">
        <v>9</v>
      </c>
      <c r="AJ22" t="s">
        <v>9</v>
      </c>
      <c r="AK22" t="s">
        <v>9</v>
      </c>
      <c r="AL22" t="s">
        <v>9</v>
      </c>
      <c r="AM22" t="s">
        <v>9</v>
      </c>
      <c r="AN22" t="s">
        <v>9</v>
      </c>
      <c r="AO22" t="s">
        <v>9</v>
      </c>
      <c r="AP22" t="s">
        <v>9</v>
      </c>
      <c r="AQ22" t="s">
        <v>9</v>
      </c>
      <c r="AR22" t="s">
        <v>9</v>
      </c>
      <c r="AS22" t="s">
        <v>9</v>
      </c>
      <c r="AT22" t="s">
        <v>9</v>
      </c>
      <c r="AU22" t="s">
        <v>9</v>
      </c>
      <c r="AV22" t="s">
        <v>9</v>
      </c>
      <c r="AW22" t="s">
        <v>9</v>
      </c>
      <c r="AX22" t="s">
        <v>9</v>
      </c>
      <c r="AY22" t="s">
        <v>9</v>
      </c>
      <c r="AZ22" t="s">
        <v>9</v>
      </c>
      <c r="BA22" t="s">
        <v>9</v>
      </c>
      <c r="BB22" t="s">
        <v>9</v>
      </c>
      <c r="BC22" t="s">
        <v>9</v>
      </c>
      <c r="BD22" t="s">
        <v>9</v>
      </c>
      <c r="BE22" t="s">
        <v>9</v>
      </c>
      <c r="BF22" t="s">
        <v>9</v>
      </c>
      <c r="BG22" t="s">
        <v>9</v>
      </c>
      <c r="BH22" t="s">
        <v>9</v>
      </c>
      <c r="BI22" t="s">
        <v>9</v>
      </c>
      <c r="BJ22" t="s">
        <v>9</v>
      </c>
    </row>
    <row r="23" spans="1:62">
      <c r="A23" t="s">
        <v>302</v>
      </c>
      <c r="B23" s="133" t="s">
        <v>591</v>
      </c>
      <c r="C23" s="133" t="str">
        <f>IF(COUNTIF(Measure_62443_2_1[[#This Row],[G 0.13 Interception of Compromising Interference Signals]:[IND.3.2.3 Insufficient regulations for the use of OT remote maintenance access]],"X")&gt;0,"X","")</f>
        <v/>
      </c>
      <c r="D23" t="s">
        <v>9</v>
      </c>
      <c r="E23" t="s">
        <v>9</v>
      </c>
      <c r="F23" t="s">
        <v>9</v>
      </c>
      <c r="G23" t="s">
        <v>9</v>
      </c>
      <c r="H23" t="s">
        <v>9</v>
      </c>
      <c r="I23" t="s">
        <v>9</v>
      </c>
      <c r="J23" t="s">
        <v>9</v>
      </c>
      <c r="K23" t="s">
        <v>9</v>
      </c>
      <c r="L23" t="s">
        <v>9</v>
      </c>
      <c r="M23" t="s">
        <v>9</v>
      </c>
      <c r="N23" t="s">
        <v>9</v>
      </c>
      <c r="O23" t="s">
        <v>9</v>
      </c>
      <c r="P23" t="s">
        <v>9</v>
      </c>
      <c r="Q23" t="s">
        <v>9</v>
      </c>
      <c r="R23" t="s">
        <v>9</v>
      </c>
      <c r="S23" t="s">
        <v>9</v>
      </c>
      <c r="T23" t="s">
        <v>9</v>
      </c>
      <c r="U23" t="s">
        <v>9</v>
      </c>
      <c r="V23" t="s">
        <v>9</v>
      </c>
      <c r="W23" t="s">
        <v>9</v>
      </c>
      <c r="X23" t="s">
        <v>9</v>
      </c>
      <c r="Y23" t="s">
        <v>9</v>
      </c>
      <c r="Z23" t="s">
        <v>9</v>
      </c>
      <c r="AA23" t="s">
        <v>9</v>
      </c>
      <c r="AB23" t="s">
        <v>9</v>
      </c>
      <c r="AC23" t="s">
        <v>9</v>
      </c>
      <c r="AD23" t="s">
        <v>9</v>
      </c>
      <c r="AE23" t="s">
        <v>9</v>
      </c>
      <c r="AF23" t="s">
        <v>9</v>
      </c>
      <c r="AG23" t="s">
        <v>9</v>
      </c>
      <c r="AH23" t="s">
        <v>9</v>
      </c>
      <c r="AI23" t="s">
        <v>9</v>
      </c>
      <c r="AJ23" t="s">
        <v>9</v>
      </c>
      <c r="AK23" t="s">
        <v>9</v>
      </c>
      <c r="AL23" t="s">
        <v>9</v>
      </c>
      <c r="AM23" t="s">
        <v>9</v>
      </c>
      <c r="AN23" t="s">
        <v>9</v>
      </c>
      <c r="AO23" t="s">
        <v>9</v>
      </c>
      <c r="AP23" t="s">
        <v>9</v>
      </c>
      <c r="AQ23" t="s">
        <v>9</v>
      </c>
      <c r="AR23" t="s">
        <v>9</v>
      </c>
      <c r="AS23" t="s">
        <v>9</v>
      </c>
      <c r="AT23" t="s">
        <v>9</v>
      </c>
      <c r="AU23" t="s">
        <v>9</v>
      </c>
      <c r="AV23" t="s">
        <v>9</v>
      </c>
      <c r="AW23" t="s">
        <v>9</v>
      </c>
      <c r="AX23" t="s">
        <v>9</v>
      </c>
      <c r="AY23" t="s">
        <v>9</v>
      </c>
      <c r="AZ23" t="s">
        <v>9</v>
      </c>
      <c r="BA23" t="s">
        <v>9</v>
      </c>
      <c r="BB23" t="s">
        <v>9</v>
      </c>
      <c r="BC23" t="s">
        <v>9</v>
      </c>
      <c r="BD23" t="s">
        <v>9</v>
      </c>
      <c r="BE23" t="s">
        <v>9</v>
      </c>
      <c r="BF23" t="s">
        <v>9</v>
      </c>
      <c r="BG23" t="s">
        <v>9</v>
      </c>
      <c r="BH23" t="s">
        <v>9</v>
      </c>
      <c r="BI23" t="s">
        <v>9</v>
      </c>
      <c r="BJ23" t="s">
        <v>9</v>
      </c>
    </row>
    <row r="24" spans="1:62">
      <c r="A24" t="s">
        <v>303</v>
      </c>
      <c r="B24" s="133" t="s">
        <v>591</v>
      </c>
      <c r="C24" s="133" t="str">
        <f>IF(COUNTIF(Measure_62443_2_1[[#This Row],[G 0.13 Interception of Compromising Interference Signals]:[IND.3.2.3 Insufficient regulations for the use of OT remote maintenance access]],"X")&gt;0,"X","")</f>
        <v/>
      </c>
      <c r="D24" t="s">
        <v>9</v>
      </c>
      <c r="E24" t="s">
        <v>9</v>
      </c>
      <c r="F24" t="s">
        <v>9</v>
      </c>
      <c r="G24" t="s">
        <v>9</v>
      </c>
      <c r="H24" t="s">
        <v>9</v>
      </c>
      <c r="I24" t="s">
        <v>9</v>
      </c>
      <c r="J24" t="s">
        <v>9</v>
      </c>
      <c r="K24" t="s">
        <v>9</v>
      </c>
      <c r="L24" t="s">
        <v>9</v>
      </c>
      <c r="M24" t="s">
        <v>9</v>
      </c>
      <c r="N24" t="s">
        <v>9</v>
      </c>
      <c r="O24" t="s">
        <v>9</v>
      </c>
      <c r="P24" t="s">
        <v>9</v>
      </c>
      <c r="Q24" t="s">
        <v>9</v>
      </c>
      <c r="R24" t="s">
        <v>9</v>
      </c>
      <c r="S24" t="s">
        <v>9</v>
      </c>
      <c r="T24" t="s">
        <v>9</v>
      </c>
      <c r="U24" t="s">
        <v>9</v>
      </c>
      <c r="V24" t="s">
        <v>9</v>
      </c>
      <c r="W24" t="s">
        <v>9</v>
      </c>
      <c r="X24" t="s">
        <v>9</v>
      </c>
      <c r="Y24" t="s">
        <v>9</v>
      </c>
      <c r="Z24" t="s">
        <v>9</v>
      </c>
      <c r="AA24" t="s">
        <v>9</v>
      </c>
      <c r="AB24" t="s">
        <v>9</v>
      </c>
      <c r="AC24" t="s">
        <v>9</v>
      </c>
      <c r="AD24" t="s">
        <v>9</v>
      </c>
      <c r="AE24" t="s">
        <v>9</v>
      </c>
      <c r="AF24" t="s">
        <v>9</v>
      </c>
      <c r="AG24" t="s">
        <v>9</v>
      </c>
      <c r="AH24" t="s">
        <v>9</v>
      </c>
      <c r="AI24" t="s">
        <v>9</v>
      </c>
      <c r="AJ24" t="s">
        <v>9</v>
      </c>
      <c r="AK24" t="s">
        <v>9</v>
      </c>
      <c r="AL24" t="s">
        <v>9</v>
      </c>
      <c r="AM24" t="s">
        <v>9</v>
      </c>
      <c r="AN24" t="s">
        <v>9</v>
      </c>
      <c r="AO24" t="s">
        <v>9</v>
      </c>
      <c r="AP24" t="s">
        <v>9</v>
      </c>
      <c r="AQ24" t="s">
        <v>9</v>
      </c>
      <c r="AR24" t="s">
        <v>9</v>
      </c>
      <c r="AS24" t="s">
        <v>9</v>
      </c>
      <c r="AT24" t="s">
        <v>9</v>
      </c>
      <c r="AU24" t="s">
        <v>9</v>
      </c>
      <c r="AV24" t="s">
        <v>9</v>
      </c>
      <c r="AW24" t="s">
        <v>9</v>
      </c>
      <c r="AX24" t="s">
        <v>9</v>
      </c>
      <c r="AY24" t="s">
        <v>9</v>
      </c>
      <c r="AZ24" t="s">
        <v>9</v>
      </c>
      <c r="BA24" t="s">
        <v>9</v>
      </c>
      <c r="BB24" t="s">
        <v>9</v>
      </c>
      <c r="BC24" t="s">
        <v>9</v>
      </c>
      <c r="BD24" t="s">
        <v>9</v>
      </c>
      <c r="BE24" t="s">
        <v>9</v>
      </c>
      <c r="BF24" t="s">
        <v>9</v>
      </c>
      <c r="BG24" t="s">
        <v>9</v>
      </c>
      <c r="BH24" t="s">
        <v>9</v>
      </c>
      <c r="BI24" t="s">
        <v>9</v>
      </c>
      <c r="BJ24" t="s">
        <v>9</v>
      </c>
    </row>
    <row r="25" spans="1:62">
      <c r="A25" t="s">
        <v>304</v>
      </c>
      <c r="B25" s="133" t="s">
        <v>591</v>
      </c>
      <c r="C25" s="133" t="str">
        <f>IF(COUNTIF(Measure_62443_2_1[[#This Row],[G 0.13 Interception of Compromising Interference Signals]:[IND.3.2.3 Insufficient regulations for the use of OT remote maintenance access]],"X")&gt;0,"X","")</f>
        <v/>
      </c>
      <c r="D25" t="s">
        <v>9</v>
      </c>
      <c r="E25" t="s">
        <v>9</v>
      </c>
      <c r="F25" t="s">
        <v>9</v>
      </c>
      <c r="G25" t="s">
        <v>9</v>
      </c>
      <c r="H25" t="s">
        <v>9</v>
      </c>
      <c r="I25" t="s">
        <v>9</v>
      </c>
      <c r="J25" t="s">
        <v>9</v>
      </c>
      <c r="K25" t="s">
        <v>9</v>
      </c>
      <c r="L25" t="s">
        <v>9</v>
      </c>
      <c r="M25" t="s">
        <v>9</v>
      </c>
      <c r="N25" t="s">
        <v>9</v>
      </c>
      <c r="O25" t="s">
        <v>9</v>
      </c>
      <c r="P25" t="s">
        <v>9</v>
      </c>
      <c r="Q25" t="s">
        <v>9</v>
      </c>
      <c r="R25" t="s">
        <v>9</v>
      </c>
      <c r="S25" t="s">
        <v>9</v>
      </c>
      <c r="T25" t="s">
        <v>9</v>
      </c>
      <c r="U25" t="s">
        <v>9</v>
      </c>
      <c r="V25" t="s">
        <v>9</v>
      </c>
      <c r="W25" t="s">
        <v>9</v>
      </c>
      <c r="X25" t="s">
        <v>9</v>
      </c>
      <c r="Y25" t="s">
        <v>9</v>
      </c>
      <c r="Z25" t="s">
        <v>9</v>
      </c>
      <c r="AA25" t="s">
        <v>9</v>
      </c>
      <c r="AB25" t="s">
        <v>9</v>
      </c>
      <c r="AC25" t="s">
        <v>9</v>
      </c>
      <c r="AD25" t="s">
        <v>9</v>
      </c>
      <c r="AE25" t="s">
        <v>9</v>
      </c>
      <c r="AF25" t="s">
        <v>9</v>
      </c>
      <c r="AG25" t="s">
        <v>9</v>
      </c>
      <c r="AH25" t="s">
        <v>9</v>
      </c>
      <c r="AI25" t="s">
        <v>9</v>
      </c>
      <c r="AJ25" t="s">
        <v>9</v>
      </c>
      <c r="AK25" t="s">
        <v>9</v>
      </c>
      <c r="AL25" t="s">
        <v>9</v>
      </c>
      <c r="AM25" t="s">
        <v>9</v>
      </c>
      <c r="AN25" t="s">
        <v>9</v>
      </c>
      <c r="AO25" t="s">
        <v>9</v>
      </c>
      <c r="AP25" t="s">
        <v>9</v>
      </c>
      <c r="AQ25" t="s">
        <v>9</v>
      </c>
      <c r="AR25" t="s">
        <v>9</v>
      </c>
      <c r="AS25" t="s">
        <v>9</v>
      </c>
      <c r="AT25" t="s">
        <v>9</v>
      </c>
      <c r="AU25" t="s">
        <v>9</v>
      </c>
      <c r="AV25" t="s">
        <v>9</v>
      </c>
      <c r="AW25" t="s">
        <v>9</v>
      </c>
      <c r="AX25" t="s">
        <v>9</v>
      </c>
      <c r="AY25" t="s">
        <v>9</v>
      </c>
      <c r="AZ25" t="s">
        <v>9</v>
      </c>
      <c r="BA25" t="s">
        <v>9</v>
      </c>
      <c r="BB25" t="s">
        <v>9</v>
      </c>
      <c r="BC25" t="s">
        <v>9</v>
      </c>
      <c r="BD25" t="s">
        <v>9</v>
      </c>
      <c r="BE25" t="s">
        <v>9</v>
      </c>
      <c r="BF25" t="s">
        <v>9</v>
      </c>
      <c r="BG25" t="s">
        <v>9</v>
      </c>
      <c r="BH25" t="s">
        <v>9</v>
      </c>
      <c r="BI25" t="s">
        <v>9</v>
      </c>
      <c r="BJ25" t="s">
        <v>9</v>
      </c>
    </row>
    <row r="26" spans="1:62">
      <c r="A26" t="s">
        <v>305</v>
      </c>
      <c r="B26" s="133" t="s">
        <v>591</v>
      </c>
      <c r="C26" s="133" t="str">
        <f>IF(COUNTIF(Measure_62443_2_1[[#This Row],[G 0.13 Interception of Compromising Interference Signals]:[IND.3.2.3 Insufficient regulations for the use of OT remote maintenance access]],"X")&gt;0,"X","")</f>
        <v/>
      </c>
      <c r="D26" t="s">
        <v>9</v>
      </c>
      <c r="E26" t="s">
        <v>9</v>
      </c>
      <c r="F26" t="s">
        <v>9</v>
      </c>
      <c r="G26" t="s">
        <v>9</v>
      </c>
      <c r="H26" t="s">
        <v>9</v>
      </c>
      <c r="I26" t="s">
        <v>9</v>
      </c>
      <c r="J26" t="s">
        <v>9</v>
      </c>
      <c r="K26" t="s">
        <v>9</v>
      </c>
      <c r="L26" t="s">
        <v>9</v>
      </c>
      <c r="M26" t="s">
        <v>9</v>
      </c>
      <c r="N26" t="s">
        <v>9</v>
      </c>
      <c r="O26" t="s">
        <v>9</v>
      </c>
      <c r="P26" t="s">
        <v>9</v>
      </c>
      <c r="Q26" t="s">
        <v>9</v>
      </c>
      <c r="R26" t="s">
        <v>9</v>
      </c>
      <c r="S26" t="s">
        <v>9</v>
      </c>
      <c r="T26" t="s">
        <v>9</v>
      </c>
      <c r="U26" t="s">
        <v>9</v>
      </c>
      <c r="V26" t="s">
        <v>9</v>
      </c>
      <c r="W26" t="s">
        <v>9</v>
      </c>
      <c r="X26" t="s">
        <v>9</v>
      </c>
      <c r="Y26" t="s">
        <v>9</v>
      </c>
      <c r="Z26" t="s">
        <v>9</v>
      </c>
      <c r="AA26" t="s">
        <v>9</v>
      </c>
      <c r="AB26" t="s">
        <v>9</v>
      </c>
      <c r="AC26" t="s">
        <v>9</v>
      </c>
      <c r="AD26" t="s">
        <v>9</v>
      </c>
      <c r="AE26" t="s">
        <v>9</v>
      </c>
      <c r="AF26" t="s">
        <v>9</v>
      </c>
      <c r="AG26" t="s">
        <v>9</v>
      </c>
      <c r="AH26" t="s">
        <v>9</v>
      </c>
      <c r="AI26" t="s">
        <v>9</v>
      </c>
      <c r="AJ26" t="s">
        <v>9</v>
      </c>
      <c r="AK26" t="s">
        <v>9</v>
      </c>
      <c r="AL26" t="s">
        <v>9</v>
      </c>
      <c r="AM26" t="s">
        <v>9</v>
      </c>
      <c r="AN26" t="s">
        <v>9</v>
      </c>
      <c r="AO26" t="s">
        <v>9</v>
      </c>
      <c r="AP26" t="s">
        <v>9</v>
      </c>
      <c r="AQ26" t="s">
        <v>9</v>
      </c>
      <c r="AR26" t="s">
        <v>9</v>
      </c>
      <c r="AS26" t="s">
        <v>9</v>
      </c>
      <c r="AT26" t="s">
        <v>9</v>
      </c>
      <c r="AU26" t="s">
        <v>9</v>
      </c>
      <c r="AV26" t="s">
        <v>9</v>
      </c>
      <c r="AW26" t="s">
        <v>9</v>
      </c>
      <c r="AX26" t="s">
        <v>9</v>
      </c>
      <c r="AY26" t="s">
        <v>9</v>
      </c>
      <c r="AZ26" t="s">
        <v>9</v>
      </c>
      <c r="BA26" t="s">
        <v>9</v>
      </c>
      <c r="BB26" t="s">
        <v>9</v>
      </c>
      <c r="BC26" t="s">
        <v>9</v>
      </c>
      <c r="BD26" t="s">
        <v>9</v>
      </c>
      <c r="BE26" t="s">
        <v>9</v>
      </c>
      <c r="BF26" t="s">
        <v>9</v>
      </c>
      <c r="BG26" t="s">
        <v>9</v>
      </c>
      <c r="BH26" t="s">
        <v>9</v>
      </c>
      <c r="BI26" t="s">
        <v>9</v>
      </c>
      <c r="BJ26" t="s">
        <v>9</v>
      </c>
    </row>
    <row r="27" spans="1:62">
      <c r="A27" t="s">
        <v>306</v>
      </c>
      <c r="B27" s="133" t="s">
        <v>591</v>
      </c>
      <c r="C27" s="133" t="str">
        <f>IF(COUNTIF(Measure_62443_2_1[[#This Row],[G 0.13 Interception of Compromising Interference Signals]:[IND.3.2.3 Insufficient regulations for the use of OT remote maintenance access]],"X")&gt;0,"X","")</f>
        <v/>
      </c>
      <c r="D27" t="s">
        <v>9</v>
      </c>
      <c r="E27" t="s">
        <v>9</v>
      </c>
      <c r="F27" t="s">
        <v>9</v>
      </c>
      <c r="G27" t="s">
        <v>9</v>
      </c>
      <c r="H27" t="s">
        <v>9</v>
      </c>
      <c r="I27" t="s">
        <v>9</v>
      </c>
      <c r="J27" t="s">
        <v>9</v>
      </c>
      <c r="K27" t="s">
        <v>9</v>
      </c>
      <c r="L27" t="s">
        <v>9</v>
      </c>
      <c r="M27" t="s">
        <v>9</v>
      </c>
      <c r="N27" t="s">
        <v>9</v>
      </c>
      <c r="O27" t="s">
        <v>9</v>
      </c>
      <c r="P27" t="s">
        <v>9</v>
      </c>
      <c r="Q27" t="s">
        <v>9</v>
      </c>
      <c r="R27" t="s">
        <v>9</v>
      </c>
      <c r="S27" t="s">
        <v>9</v>
      </c>
      <c r="T27" t="s">
        <v>9</v>
      </c>
      <c r="U27" t="s">
        <v>9</v>
      </c>
      <c r="V27" t="s">
        <v>9</v>
      </c>
      <c r="W27" t="s">
        <v>9</v>
      </c>
      <c r="X27" t="s">
        <v>9</v>
      </c>
      <c r="Y27" t="s">
        <v>9</v>
      </c>
      <c r="Z27" t="s">
        <v>9</v>
      </c>
      <c r="AA27" t="s">
        <v>9</v>
      </c>
      <c r="AB27" t="s">
        <v>9</v>
      </c>
      <c r="AC27" t="s">
        <v>9</v>
      </c>
      <c r="AD27" t="s">
        <v>9</v>
      </c>
      <c r="AE27" t="s">
        <v>9</v>
      </c>
      <c r="AF27" t="s">
        <v>9</v>
      </c>
      <c r="AG27" t="s">
        <v>9</v>
      </c>
      <c r="AH27" t="s">
        <v>9</v>
      </c>
      <c r="AI27" t="s">
        <v>9</v>
      </c>
      <c r="AJ27" t="s">
        <v>9</v>
      </c>
      <c r="AK27" t="s">
        <v>9</v>
      </c>
      <c r="AL27" t="s">
        <v>9</v>
      </c>
      <c r="AM27" t="s">
        <v>9</v>
      </c>
      <c r="AN27" t="s">
        <v>9</v>
      </c>
      <c r="AO27" t="s">
        <v>9</v>
      </c>
      <c r="AP27" t="s">
        <v>9</v>
      </c>
      <c r="AQ27" t="s">
        <v>9</v>
      </c>
      <c r="AR27" t="s">
        <v>9</v>
      </c>
      <c r="AS27" t="s">
        <v>9</v>
      </c>
      <c r="AT27" t="s">
        <v>9</v>
      </c>
      <c r="AU27" t="s">
        <v>9</v>
      </c>
      <c r="AV27" t="s">
        <v>9</v>
      </c>
      <c r="AW27" t="s">
        <v>9</v>
      </c>
      <c r="AX27" t="s">
        <v>9</v>
      </c>
      <c r="AY27" t="s">
        <v>9</v>
      </c>
      <c r="AZ27" t="s">
        <v>9</v>
      </c>
      <c r="BA27" t="s">
        <v>9</v>
      </c>
      <c r="BB27" t="s">
        <v>9</v>
      </c>
      <c r="BC27" t="s">
        <v>9</v>
      </c>
      <c r="BD27" t="s">
        <v>9</v>
      </c>
      <c r="BE27" t="s">
        <v>9</v>
      </c>
      <c r="BF27" t="s">
        <v>9</v>
      </c>
      <c r="BG27" t="s">
        <v>9</v>
      </c>
      <c r="BH27" t="s">
        <v>9</v>
      </c>
      <c r="BI27" t="s">
        <v>9</v>
      </c>
      <c r="BJ27" t="s">
        <v>9</v>
      </c>
    </row>
    <row r="28" spans="1:62">
      <c r="A28" t="s">
        <v>307</v>
      </c>
      <c r="B28" s="133" t="s">
        <v>591</v>
      </c>
      <c r="C28" s="133" t="str">
        <f>IF(COUNTIF(Measure_62443_2_1[[#This Row],[G 0.13 Interception of Compromising Interference Signals]:[IND.3.2.3 Insufficient regulations for the use of OT remote maintenance access]],"X")&gt;0,"X","")</f>
        <v/>
      </c>
      <c r="D28" t="s">
        <v>9</v>
      </c>
      <c r="E28" t="s">
        <v>9</v>
      </c>
      <c r="F28" t="s">
        <v>9</v>
      </c>
      <c r="G28" t="s">
        <v>9</v>
      </c>
      <c r="H28" t="s">
        <v>9</v>
      </c>
      <c r="I28" t="s">
        <v>9</v>
      </c>
      <c r="J28" t="s">
        <v>9</v>
      </c>
      <c r="K28" t="s">
        <v>9</v>
      </c>
      <c r="L28" t="s">
        <v>9</v>
      </c>
      <c r="M28" t="s">
        <v>9</v>
      </c>
      <c r="N28" t="s">
        <v>9</v>
      </c>
      <c r="O28" t="s">
        <v>9</v>
      </c>
      <c r="P28" t="s">
        <v>9</v>
      </c>
      <c r="Q28" t="s">
        <v>9</v>
      </c>
      <c r="R28" t="s">
        <v>9</v>
      </c>
      <c r="S28" t="s">
        <v>9</v>
      </c>
      <c r="T28" t="s">
        <v>9</v>
      </c>
      <c r="U28" t="s">
        <v>9</v>
      </c>
      <c r="V28" t="s">
        <v>9</v>
      </c>
      <c r="W28" t="s">
        <v>9</v>
      </c>
      <c r="X28" t="s">
        <v>9</v>
      </c>
      <c r="Y28" t="s">
        <v>9</v>
      </c>
      <c r="Z28" t="s">
        <v>9</v>
      </c>
      <c r="AA28" t="s">
        <v>9</v>
      </c>
      <c r="AB28" t="s">
        <v>9</v>
      </c>
      <c r="AC28" t="s">
        <v>9</v>
      </c>
      <c r="AD28" t="s">
        <v>9</v>
      </c>
      <c r="AE28" t="s">
        <v>9</v>
      </c>
      <c r="AF28" t="s">
        <v>9</v>
      </c>
      <c r="AG28" t="s">
        <v>9</v>
      </c>
      <c r="AH28" t="s">
        <v>9</v>
      </c>
      <c r="AI28" t="s">
        <v>9</v>
      </c>
      <c r="AJ28" t="s">
        <v>9</v>
      </c>
      <c r="AK28" t="s">
        <v>9</v>
      </c>
      <c r="AL28" t="s">
        <v>9</v>
      </c>
      <c r="AM28" t="s">
        <v>9</v>
      </c>
      <c r="AN28" t="s">
        <v>9</v>
      </c>
      <c r="AO28" t="s">
        <v>9</v>
      </c>
      <c r="AP28" t="s">
        <v>9</v>
      </c>
      <c r="AQ28" t="s">
        <v>9</v>
      </c>
      <c r="AR28" t="s">
        <v>9</v>
      </c>
      <c r="AS28" t="s">
        <v>9</v>
      </c>
      <c r="AT28" t="s">
        <v>9</v>
      </c>
      <c r="AU28" t="s">
        <v>9</v>
      </c>
      <c r="AV28" t="s">
        <v>9</v>
      </c>
      <c r="AW28" t="s">
        <v>9</v>
      </c>
      <c r="AX28" t="s">
        <v>9</v>
      </c>
      <c r="AY28" t="s">
        <v>9</v>
      </c>
      <c r="AZ28" t="s">
        <v>9</v>
      </c>
      <c r="BA28" t="s">
        <v>9</v>
      </c>
      <c r="BB28" t="s">
        <v>9</v>
      </c>
      <c r="BC28" t="s">
        <v>9</v>
      </c>
      <c r="BD28" t="s">
        <v>9</v>
      </c>
      <c r="BE28" t="s">
        <v>9</v>
      </c>
      <c r="BF28" t="s">
        <v>9</v>
      </c>
      <c r="BG28" t="s">
        <v>9</v>
      </c>
      <c r="BH28" t="s">
        <v>9</v>
      </c>
      <c r="BI28" t="s">
        <v>9</v>
      </c>
      <c r="BJ28" t="s">
        <v>9</v>
      </c>
    </row>
    <row r="29" spans="1:62">
      <c r="A29" t="s">
        <v>308</v>
      </c>
      <c r="B29" s="133" t="s">
        <v>591</v>
      </c>
      <c r="C29" s="133" t="str">
        <f>IF(COUNTIF(Measure_62443_2_1[[#This Row],[G 0.13 Interception of Compromising Interference Signals]:[IND.3.2.3 Insufficient regulations for the use of OT remote maintenance access]],"X")&gt;0,"X","")</f>
        <v/>
      </c>
      <c r="D29" t="s">
        <v>9</v>
      </c>
      <c r="E29" t="s">
        <v>9</v>
      </c>
      <c r="F29" t="s">
        <v>9</v>
      </c>
      <c r="G29" t="s">
        <v>9</v>
      </c>
      <c r="H29" t="s">
        <v>9</v>
      </c>
      <c r="I29" t="s">
        <v>9</v>
      </c>
      <c r="J29" t="s">
        <v>9</v>
      </c>
      <c r="K29" t="s">
        <v>9</v>
      </c>
      <c r="L29" t="s">
        <v>9</v>
      </c>
      <c r="M29" t="s">
        <v>9</v>
      </c>
      <c r="N29" t="s">
        <v>9</v>
      </c>
      <c r="O29" t="s">
        <v>9</v>
      </c>
      <c r="P29" t="s">
        <v>9</v>
      </c>
      <c r="Q29" t="s">
        <v>9</v>
      </c>
      <c r="R29" t="s">
        <v>9</v>
      </c>
      <c r="S29" t="s">
        <v>9</v>
      </c>
      <c r="T29" t="s">
        <v>9</v>
      </c>
      <c r="U29" t="s">
        <v>9</v>
      </c>
      <c r="V29" t="s">
        <v>9</v>
      </c>
      <c r="W29" t="s">
        <v>9</v>
      </c>
      <c r="X29" t="s">
        <v>9</v>
      </c>
      <c r="Y29" t="s">
        <v>9</v>
      </c>
      <c r="Z29" t="s">
        <v>9</v>
      </c>
      <c r="AA29" t="s">
        <v>9</v>
      </c>
      <c r="AB29" t="s">
        <v>9</v>
      </c>
      <c r="AC29" t="s">
        <v>9</v>
      </c>
      <c r="AD29" t="s">
        <v>9</v>
      </c>
      <c r="AE29" t="s">
        <v>9</v>
      </c>
      <c r="AF29" t="s">
        <v>9</v>
      </c>
      <c r="AG29" t="s">
        <v>9</v>
      </c>
      <c r="AH29" t="s">
        <v>9</v>
      </c>
      <c r="AI29" t="s">
        <v>9</v>
      </c>
      <c r="AJ29" t="s">
        <v>9</v>
      </c>
      <c r="AK29" t="s">
        <v>9</v>
      </c>
      <c r="AL29" t="s">
        <v>9</v>
      </c>
      <c r="AM29" t="s">
        <v>9</v>
      </c>
      <c r="AN29" t="s">
        <v>9</v>
      </c>
      <c r="AO29" t="s">
        <v>9</v>
      </c>
      <c r="AP29" t="s">
        <v>9</v>
      </c>
      <c r="AQ29" t="s">
        <v>9</v>
      </c>
      <c r="AR29" t="s">
        <v>9</v>
      </c>
      <c r="AS29" t="s">
        <v>9</v>
      </c>
      <c r="AT29" t="s">
        <v>9</v>
      </c>
      <c r="AU29" t="s">
        <v>9</v>
      </c>
      <c r="AV29" t="s">
        <v>9</v>
      </c>
      <c r="AW29" t="s">
        <v>9</v>
      </c>
      <c r="AX29" t="s">
        <v>9</v>
      </c>
      <c r="AY29" t="s">
        <v>9</v>
      </c>
      <c r="AZ29" t="s">
        <v>9</v>
      </c>
      <c r="BA29" t="s">
        <v>9</v>
      </c>
      <c r="BB29" t="s">
        <v>9</v>
      </c>
      <c r="BC29" t="s">
        <v>9</v>
      </c>
      <c r="BD29" t="s">
        <v>9</v>
      </c>
      <c r="BE29" t="s">
        <v>9</v>
      </c>
      <c r="BF29" t="s">
        <v>9</v>
      </c>
      <c r="BG29" t="s">
        <v>9</v>
      </c>
      <c r="BH29" t="s">
        <v>9</v>
      </c>
      <c r="BI29" t="s">
        <v>9</v>
      </c>
      <c r="BJ29" t="s">
        <v>9</v>
      </c>
    </row>
    <row r="30" spans="1:62">
      <c r="A30" t="s">
        <v>309</v>
      </c>
      <c r="B30" s="133" t="s">
        <v>591</v>
      </c>
      <c r="C30" s="133" t="str">
        <f>IF(COUNTIF(Measure_62443_2_1[[#This Row],[G 0.13 Interception of Compromising Interference Signals]:[IND.3.2.3 Insufficient regulations for the use of OT remote maintenance access]],"X")&gt;0,"X","")</f>
        <v/>
      </c>
      <c r="D30" t="s">
        <v>9</v>
      </c>
      <c r="E30" t="s">
        <v>9</v>
      </c>
      <c r="F30" t="s">
        <v>9</v>
      </c>
      <c r="G30" t="s">
        <v>9</v>
      </c>
      <c r="H30" t="s">
        <v>9</v>
      </c>
      <c r="I30" t="s">
        <v>9</v>
      </c>
      <c r="J30" t="s">
        <v>9</v>
      </c>
      <c r="K30" t="s">
        <v>9</v>
      </c>
      <c r="L30" t="s">
        <v>9</v>
      </c>
      <c r="M30" t="s">
        <v>9</v>
      </c>
      <c r="N30" t="s">
        <v>9</v>
      </c>
      <c r="O30" t="s">
        <v>9</v>
      </c>
      <c r="P30" t="s">
        <v>9</v>
      </c>
      <c r="Q30" t="s">
        <v>9</v>
      </c>
      <c r="R30" t="s">
        <v>9</v>
      </c>
      <c r="S30" t="s">
        <v>9</v>
      </c>
      <c r="T30" t="s">
        <v>9</v>
      </c>
      <c r="U30" t="s">
        <v>9</v>
      </c>
      <c r="V30" t="s">
        <v>9</v>
      </c>
      <c r="W30" t="s">
        <v>9</v>
      </c>
      <c r="X30" t="s">
        <v>9</v>
      </c>
      <c r="Y30" t="s">
        <v>9</v>
      </c>
      <c r="Z30" t="s">
        <v>9</v>
      </c>
      <c r="AA30" t="s">
        <v>9</v>
      </c>
      <c r="AB30" t="s">
        <v>9</v>
      </c>
      <c r="AC30" t="s">
        <v>9</v>
      </c>
      <c r="AD30" t="s">
        <v>9</v>
      </c>
      <c r="AE30" t="s">
        <v>9</v>
      </c>
      <c r="AF30" t="s">
        <v>9</v>
      </c>
      <c r="AG30" t="s">
        <v>9</v>
      </c>
      <c r="AH30" t="s">
        <v>9</v>
      </c>
      <c r="AI30" t="s">
        <v>9</v>
      </c>
      <c r="AJ30" t="s">
        <v>9</v>
      </c>
      <c r="AK30" t="s">
        <v>9</v>
      </c>
      <c r="AL30" t="s">
        <v>9</v>
      </c>
      <c r="AM30" t="s">
        <v>9</v>
      </c>
      <c r="AN30" t="s">
        <v>9</v>
      </c>
      <c r="AO30" t="s">
        <v>9</v>
      </c>
      <c r="AP30" t="s">
        <v>9</v>
      </c>
      <c r="AQ30" t="s">
        <v>9</v>
      </c>
      <c r="AR30" t="s">
        <v>9</v>
      </c>
      <c r="AS30" t="s">
        <v>9</v>
      </c>
      <c r="AT30" t="s">
        <v>9</v>
      </c>
      <c r="AU30" t="s">
        <v>9</v>
      </c>
      <c r="AV30" t="s">
        <v>9</v>
      </c>
      <c r="AW30" t="s">
        <v>9</v>
      </c>
      <c r="AX30" t="s">
        <v>9</v>
      </c>
      <c r="AY30" t="s">
        <v>9</v>
      </c>
      <c r="AZ30" t="s">
        <v>9</v>
      </c>
      <c r="BA30" t="s">
        <v>9</v>
      </c>
      <c r="BB30" t="s">
        <v>9</v>
      </c>
      <c r="BC30" t="s">
        <v>9</v>
      </c>
      <c r="BD30" t="s">
        <v>9</v>
      </c>
      <c r="BE30" t="s">
        <v>9</v>
      </c>
      <c r="BF30" t="s">
        <v>9</v>
      </c>
      <c r="BG30" t="s">
        <v>9</v>
      </c>
      <c r="BH30" t="s">
        <v>9</v>
      </c>
      <c r="BI30" t="s">
        <v>9</v>
      </c>
      <c r="BJ30" t="s">
        <v>9</v>
      </c>
    </row>
    <row r="31" spans="1:62">
      <c r="A31" t="s">
        <v>310</v>
      </c>
      <c r="B31" s="133" t="s">
        <v>591</v>
      </c>
      <c r="C31" s="133" t="str">
        <f>IF(COUNTIF(Measure_62443_2_1[[#This Row],[G 0.13 Interception of Compromising Interference Signals]:[IND.3.2.3 Insufficient regulations for the use of OT remote maintenance access]],"X")&gt;0,"X","")</f>
        <v/>
      </c>
      <c r="D31" t="s">
        <v>9</v>
      </c>
      <c r="E31" t="s">
        <v>9</v>
      </c>
      <c r="F31" t="s">
        <v>9</v>
      </c>
      <c r="G31" t="s">
        <v>9</v>
      </c>
      <c r="H31" t="s">
        <v>9</v>
      </c>
      <c r="I31" t="s">
        <v>9</v>
      </c>
      <c r="J31" t="s">
        <v>9</v>
      </c>
      <c r="K31" t="s">
        <v>9</v>
      </c>
      <c r="L31" t="s">
        <v>9</v>
      </c>
      <c r="M31" t="s">
        <v>9</v>
      </c>
      <c r="N31" t="s">
        <v>9</v>
      </c>
      <c r="O31" t="s">
        <v>9</v>
      </c>
      <c r="P31" t="s">
        <v>9</v>
      </c>
      <c r="Q31" t="s">
        <v>9</v>
      </c>
      <c r="R31" t="s">
        <v>9</v>
      </c>
      <c r="S31" t="s">
        <v>9</v>
      </c>
      <c r="T31" t="s">
        <v>9</v>
      </c>
      <c r="U31" t="s">
        <v>9</v>
      </c>
      <c r="V31" t="s">
        <v>9</v>
      </c>
      <c r="W31" t="s">
        <v>9</v>
      </c>
      <c r="X31" t="s">
        <v>9</v>
      </c>
      <c r="Y31" t="s">
        <v>9</v>
      </c>
      <c r="Z31" t="s">
        <v>9</v>
      </c>
      <c r="AA31" t="s">
        <v>9</v>
      </c>
      <c r="AB31" t="s">
        <v>9</v>
      </c>
      <c r="AC31" t="s">
        <v>9</v>
      </c>
      <c r="AD31" t="s">
        <v>9</v>
      </c>
      <c r="AE31" t="s">
        <v>9</v>
      </c>
      <c r="AF31" t="s">
        <v>9</v>
      </c>
      <c r="AG31" t="s">
        <v>9</v>
      </c>
      <c r="AH31" t="s">
        <v>9</v>
      </c>
      <c r="AI31" t="s">
        <v>9</v>
      </c>
      <c r="AJ31" t="s">
        <v>9</v>
      </c>
      <c r="AK31" t="s">
        <v>9</v>
      </c>
      <c r="AL31" t="s">
        <v>9</v>
      </c>
      <c r="AM31" t="s">
        <v>9</v>
      </c>
      <c r="AN31" t="s">
        <v>9</v>
      </c>
      <c r="AO31" t="s">
        <v>9</v>
      </c>
      <c r="AP31" t="s">
        <v>9</v>
      </c>
      <c r="AQ31" t="s">
        <v>9</v>
      </c>
      <c r="AR31" t="s">
        <v>9</v>
      </c>
      <c r="AS31" t="s">
        <v>9</v>
      </c>
      <c r="AT31" t="s">
        <v>9</v>
      </c>
      <c r="AU31" t="s">
        <v>9</v>
      </c>
      <c r="AV31" t="s">
        <v>9</v>
      </c>
      <c r="AW31" t="s">
        <v>9</v>
      </c>
      <c r="AX31" t="s">
        <v>9</v>
      </c>
      <c r="AY31" t="s">
        <v>9</v>
      </c>
      <c r="AZ31" t="s">
        <v>9</v>
      </c>
      <c r="BA31" t="s">
        <v>9</v>
      </c>
      <c r="BB31" t="s">
        <v>9</v>
      </c>
      <c r="BC31" t="s">
        <v>9</v>
      </c>
      <c r="BD31" t="s">
        <v>9</v>
      </c>
      <c r="BE31" t="s">
        <v>9</v>
      </c>
      <c r="BF31" t="s">
        <v>9</v>
      </c>
      <c r="BG31" t="s">
        <v>9</v>
      </c>
      <c r="BH31" t="s">
        <v>9</v>
      </c>
      <c r="BI31" t="s">
        <v>9</v>
      </c>
      <c r="BJ31" t="s">
        <v>9</v>
      </c>
    </row>
    <row r="32" spans="1:62">
      <c r="A32" t="s">
        <v>311</v>
      </c>
      <c r="B32" s="133" t="s">
        <v>591</v>
      </c>
      <c r="C32" s="133" t="str">
        <f>IF(COUNTIF(Measure_62443_2_1[[#This Row],[G 0.13 Interception of Compromising Interference Signals]:[IND.3.2.3 Insufficient regulations for the use of OT remote maintenance access]],"X")&gt;0,"X","")</f>
        <v/>
      </c>
      <c r="D32" t="s">
        <v>9</v>
      </c>
      <c r="E32" t="s">
        <v>9</v>
      </c>
      <c r="F32" t="s">
        <v>9</v>
      </c>
      <c r="G32" t="s">
        <v>9</v>
      </c>
      <c r="H32" t="s">
        <v>9</v>
      </c>
      <c r="I32" t="s">
        <v>9</v>
      </c>
      <c r="J32" t="s">
        <v>9</v>
      </c>
      <c r="K32" t="s">
        <v>9</v>
      </c>
      <c r="L32" t="s">
        <v>9</v>
      </c>
      <c r="M32" t="s">
        <v>9</v>
      </c>
      <c r="N32" t="s">
        <v>9</v>
      </c>
      <c r="O32" t="s">
        <v>9</v>
      </c>
      <c r="P32" t="s">
        <v>9</v>
      </c>
      <c r="Q32" t="s">
        <v>9</v>
      </c>
      <c r="R32" t="s">
        <v>9</v>
      </c>
      <c r="S32" t="s">
        <v>9</v>
      </c>
      <c r="T32" t="s">
        <v>9</v>
      </c>
      <c r="U32" t="s">
        <v>9</v>
      </c>
      <c r="V32" t="s">
        <v>9</v>
      </c>
      <c r="W32" t="s">
        <v>9</v>
      </c>
      <c r="X32" t="s">
        <v>9</v>
      </c>
      <c r="Y32" t="s">
        <v>9</v>
      </c>
      <c r="Z32" t="s">
        <v>9</v>
      </c>
      <c r="AA32" t="s">
        <v>9</v>
      </c>
      <c r="AB32" t="s">
        <v>9</v>
      </c>
      <c r="AC32" t="s">
        <v>9</v>
      </c>
      <c r="AD32" t="s">
        <v>9</v>
      </c>
      <c r="AE32" t="s">
        <v>9</v>
      </c>
      <c r="AF32" t="s">
        <v>9</v>
      </c>
      <c r="AG32" t="s">
        <v>9</v>
      </c>
      <c r="AH32" t="s">
        <v>9</v>
      </c>
      <c r="AI32" t="s">
        <v>9</v>
      </c>
      <c r="AJ32" t="s">
        <v>9</v>
      </c>
      <c r="AK32" t="s">
        <v>9</v>
      </c>
      <c r="AL32" t="s">
        <v>9</v>
      </c>
      <c r="AM32" t="s">
        <v>9</v>
      </c>
      <c r="AN32" t="s">
        <v>9</v>
      </c>
      <c r="AO32" t="s">
        <v>9</v>
      </c>
      <c r="AP32" t="s">
        <v>9</v>
      </c>
      <c r="AQ32" t="s">
        <v>9</v>
      </c>
      <c r="AR32" t="s">
        <v>9</v>
      </c>
      <c r="AS32" t="s">
        <v>9</v>
      </c>
      <c r="AT32" t="s">
        <v>9</v>
      </c>
      <c r="AU32" t="s">
        <v>9</v>
      </c>
      <c r="AV32" t="s">
        <v>9</v>
      </c>
      <c r="AW32" t="s">
        <v>9</v>
      </c>
      <c r="AX32" t="s">
        <v>9</v>
      </c>
      <c r="AY32" t="s">
        <v>9</v>
      </c>
      <c r="AZ32" t="s">
        <v>9</v>
      </c>
      <c r="BA32" t="s">
        <v>9</v>
      </c>
      <c r="BB32" t="s">
        <v>9</v>
      </c>
      <c r="BC32" t="s">
        <v>9</v>
      </c>
      <c r="BD32" t="s">
        <v>9</v>
      </c>
      <c r="BE32" t="s">
        <v>9</v>
      </c>
      <c r="BF32" t="s">
        <v>9</v>
      </c>
      <c r="BG32" t="s">
        <v>9</v>
      </c>
      <c r="BH32" t="s">
        <v>9</v>
      </c>
      <c r="BI32" t="s">
        <v>9</v>
      </c>
      <c r="BJ32" t="s">
        <v>9</v>
      </c>
    </row>
    <row r="33" spans="1:62">
      <c r="A33" t="s">
        <v>312</v>
      </c>
      <c r="B33" s="133" t="s">
        <v>591</v>
      </c>
      <c r="C33" s="133" t="str">
        <f>IF(COUNTIF(Measure_62443_2_1[[#This Row],[G 0.13 Interception of Compromising Interference Signals]:[IND.3.2.3 Insufficient regulations for the use of OT remote maintenance access]],"X")&gt;0,"X","")</f>
        <v/>
      </c>
      <c r="D33" t="s">
        <v>9</v>
      </c>
      <c r="E33" t="s">
        <v>9</v>
      </c>
      <c r="F33" t="s">
        <v>9</v>
      </c>
      <c r="G33" t="s">
        <v>9</v>
      </c>
      <c r="H33" t="s">
        <v>9</v>
      </c>
      <c r="I33" t="s">
        <v>9</v>
      </c>
      <c r="J33" t="s">
        <v>9</v>
      </c>
      <c r="K33" t="s">
        <v>9</v>
      </c>
      <c r="L33" t="s">
        <v>9</v>
      </c>
      <c r="M33" t="s">
        <v>9</v>
      </c>
      <c r="N33" t="s">
        <v>9</v>
      </c>
      <c r="O33" t="s">
        <v>9</v>
      </c>
      <c r="P33" t="s">
        <v>9</v>
      </c>
      <c r="Q33" t="s">
        <v>9</v>
      </c>
      <c r="R33" t="s">
        <v>9</v>
      </c>
      <c r="S33" t="s">
        <v>9</v>
      </c>
      <c r="T33" t="s">
        <v>9</v>
      </c>
      <c r="U33" t="s">
        <v>9</v>
      </c>
      <c r="V33" t="s">
        <v>9</v>
      </c>
      <c r="W33" t="s">
        <v>9</v>
      </c>
      <c r="X33" t="s">
        <v>9</v>
      </c>
      <c r="Y33" t="s">
        <v>9</v>
      </c>
      <c r="Z33" t="s">
        <v>9</v>
      </c>
      <c r="AA33" t="s">
        <v>9</v>
      </c>
      <c r="AB33" t="s">
        <v>9</v>
      </c>
      <c r="AC33" t="s">
        <v>9</v>
      </c>
      <c r="AD33" t="s">
        <v>9</v>
      </c>
      <c r="AE33" t="s">
        <v>9</v>
      </c>
      <c r="AF33" t="s">
        <v>9</v>
      </c>
      <c r="AG33" t="s">
        <v>9</v>
      </c>
      <c r="AH33" t="s">
        <v>9</v>
      </c>
      <c r="AI33" t="s">
        <v>9</v>
      </c>
      <c r="AJ33" t="s">
        <v>9</v>
      </c>
      <c r="AK33" t="s">
        <v>9</v>
      </c>
      <c r="AL33" t="s">
        <v>9</v>
      </c>
      <c r="AM33" t="s">
        <v>9</v>
      </c>
      <c r="AN33" t="s">
        <v>9</v>
      </c>
      <c r="AO33" t="s">
        <v>9</v>
      </c>
      <c r="AP33" t="s">
        <v>9</v>
      </c>
      <c r="AQ33" t="s">
        <v>9</v>
      </c>
      <c r="AR33" t="s">
        <v>9</v>
      </c>
      <c r="AS33" t="s">
        <v>9</v>
      </c>
      <c r="AT33" t="s">
        <v>9</v>
      </c>
      <c r="AU33" t="s">
        <v>9</v>
      </c>
      <c r="AV33" t="s">
        <v>9</v>
      </c>
      <c r="AW33" t="s">
        <v>9</v>
      </c>
      <c r="AX33" t="s">
        <v>9</v>
      </c>
      <c r="AY33" t="s">
        <v>9</v>
      </c>
      <c r="AZ33" t="s">
        <v>9</v>
      </c>
      <c r="BA33" t="s">
        <v>9</v>
      </c>
      <c r="BB33" t="s">
        <v>9</v>
      </c>
      <c r="BC33" t="s">
        <v>9</v>
      </c>
      <c r="BD33" t="s">
        <v>9</v>
      </c>
      <c r="BE33" t="s">
        <v>9</v>
      </c>
      <c r="BF33" t="s">
        <v>9</v>
      </c>
      <c r="BG33" t="s">
        <v>9</v>
      </c>
      <c r="BH33" t="s">
        <v>9</v>
      </c>
      <c r="BI33" t="s">
        <v>9</v>
      </c>
      <c r="BJ33" t="s">
        <v>9</v>
      </c>
    </row>
    <row r="34" spans="1:62">
      <c r="A34" t="s">
        <v>313</v>
      </c>
      <c r="B34" s="133" t="s">
        <v>591</v>
      </c>
      <c r="C34" s="133" t="str">
        <f>IF(COUNTIF(Measure_62443_2_1[[#This Row],[G 0.13 Interception of Compromising Interference Signals]:[IND.3.2.3 Insufficient regulations for the use of OT remote maintenance access]],"X")&gt;0,"X","")</f>
        <v/>
      </c>
      <c r="D34" t="s">
        <v>9</v>
      </c>
      <c r="E34" t="s">
        <v>9</v>
      </c>
      <c r="F34" t="s">
        <v>9</v>
      </c>
      <c r="G34" t="s">
        <v>9</v>
      </c>
      <c r="H34" t="s">
        <v>9</v>
      </c>
      <c r="I34" t="s">
        <v>9</v>
      </c>
      <c r="J34" t="s">
        <v>9</v>
      </c>
      <c r="K34" t="s">
        <v>9</v>
      </c>
      <c r="L34" t="s">
        <v>9</v>
      </c>
      <c r="M34" t="s">
        <v>9</v>
      </c>
      <c r="N34" t="s">
        <v>9</v>
      </c>
      <c r="O34" t="s">
        <v>9</v>
      </c>
      <c r="P34" t="s">
        <v>9</v>
      </c>
      <c r="Q34" t="s">
        <v>9</v>
      </c>
      <c r="R34" t="s">
        <v>9</v>
      </c>
      <c r="S34" t="s">
        <v>9</v>
      </c>
      <c r="T34" t="s">
        <v>9</v>
      </c>
      <c r="U34" t="s">
        <v>9</v>
      </c>
      <c r="V34" t="s">
        <v>9</v>
      </c>
      <c r="W34" t="s">
        <v>9</v>
      </c>
      <c r="X34" t="s">
        <v>9</v>
      </c>
      <c r="Y34" t="s">
        <v>9</v>
      </c>
      <c r="Z34" t="s">
        <v>9</v>
      </c>
      <c r="AA34" t="s">
        <v>9</v>
      </c>
      <c r="AB34" t="s">
        <v>9</v>
      </c>
      <c r="AC34" t="s">
        <v>9</v>
      </c>
      <c r="AD34" t="s">
        <v>9</v>
      </c>
      <c r="AE34" t="s">
        <v>9</v>
      </c>
      <c r="AF34" t="s">
        <v>9</v>
      </c>
      <c r="AG34" t="s">
        <v>9</v>
      </c>
      <c r="AH34" t="s">
        <v>9</v>
      </c>
      <c r="AI34" t="s">
        <v>9</v>
      </c>
      <c r="AJ34" t="s">
        <v>9</v>
      </c>
      <c r="AK34" t="s">
        <v>9</v>
      </c>
      <c r="AL34" t="s">
        <v>9</v>
      </c>
      <c r="AM34" t="s">
        <v>9</v>
      </c>
      <c r="AN34" t="s">
        <v>9</v>
      </c>
      <c r="AO34" t="s">
        <v>9</v>
      </c>
      <c r="AP34" t="s">
        <v>9</v>
      </c>
      <c r="AQ34" t="s">
        <v>9</v>
      </c>
      <c r="AR34" t="s">
        <v>9</v>
      </c>
      <c r="AS34" t="s">
        <v>9</v>
      </c>
      <c r="AT34" t="s">
        <v>9</v>
      </c>
      <c r="AU34" t="s">
        <v>9</v>
      </c>
      <c r="AV34" t="s">
        <v>9</v>
      </c>
      <c r="AW34" t="s">
        <v>9</v>
      </c>
      <c r="AX34" t="s">
        <v>9</v>
      </c>
      <c r="AY34" t="s">
        <v>9</v>
      </c>
      <c r="AZ34" t="s">
        <v>9</v>
      </c>
      <c r="BA34" t="s">
        <v>9</v>
      </c>
      <c r="BB34" t="s">
        <v>9</v>
      </c>
      <c r="BC34" t="s">
        <v>9</v>
      </c>
      <c r="BD34" t="s">
        <v>9</v>
      </c>
      <c r="BE34" t="s">
        <v>9</v>
      </c>
      <c r="BF34" t="s">
        <v>9</v>
      </c>
      <c r="BG34" t="s">
        <v>9</v>
      </c>
      <c r="BH34" t="s">
        <v>9</v>
      </c>
      <c r="BI34" t="s">
        <v>9</v>
      </c>
      <c r="BJ34" t="s">
        <v>9</v>
      </c>
    </row>
    <row r="35" spans="1:62">
      <c r="A35" t="s">
        <v>314</v>
      </c>
      <c r="B35" s="133" t="s">
        <v>591</v>
      </c>
      <c r="C35" s="133" t="str">
        <f>IF(COUNTIF(Measure_62443_2_1[[#This Row],[G 0.13 Interception of Compromising Interference Signals]:[IND.3.2.3 Insufficient regulations for the use of OT remote maintenance access]],"X")&gt;0,"X","")</f>
        <v/>
      </c>
      <c r="D35" t="s">
        <v>9</v>
      </c>
      <c r="E35" t="s">
        <v>9</v>
      </c>
      <c r="F35" t="s">
        <v>9</v>
      </c>
      <c r="G35" t="s">
        <v>9</v>
      </c>
      <c r="H35" t="s">
        <v>9</v>
      </c>
      <c r="I35" t="s">
        <v>9</v>
      </c>
      <c r="J35" t="s">
        <v>9</v>
      </c>
      <c r="K35" t="s">
        <v>9</v>
      </c>
      <c r="L35" t="s">
        <v>9</v>
      </c>
      <c r="M35" t="s">
        <v>9</v>
      </c>
      <c r="N35" t="s">
        <v>9</v>
      </c>
      <c r="O35" t="s">
        <v>9</v>
      </c>
      <c r="P35" t="s">
        <v>9</v>
      </c>
      <c r="Q35" t="s">
        <v>9</v>
      </c>
      <c r="R35" t="s">
        <v>9</v>
      </c>
      <c r="S35" t="s">
        <v>9</v>
      </c>
      <c r="T35" t="s">
        <v>9</v>
      </c>
      <c r="U35" t="s">
        <v>9</v>
      </c>
      <c r="V35" t="s">
        <v>9</v>
      </c>
      <c r="W35" t="s">
        <v>9</v>
      </c>
      <c r="X35" t="s">
        <v>9</v>
      </c>
      <c r="Y35" t="s">
        <v>9</v>
      </c>
      <c r="Z35" t="s">
        <v>9</v>
      </c>
      <c r="AA35" t="s">
        <v>9</v>
      </c>
      <c r="AB35" t="s">
        <v>9</v>
      </c>
      <c r="AC35" t="s">
        <v>9</v>
      </c>
      <c r="AD35" t="s">
        <v>9</v>
      </c>
      <c r="AE35" t="s">
        <v>9</v>
      </c>
      <c r="AF35" t="s">
        <v>9</v>
      </c>
      <c r="AG35" t="s">
        <v>9</v>
      </c>
      <c r="AH35" t="s">
        <v>9</v>
      </c>
      <c r="AI35" t="s">
        <v>9</v>
      </c>
      <c r="AJ35" t="s">
        <v>9</v>
      </c>
      <c r="AK35" t="s">
        <v>9</v>
      </c>
      <c r="AL35" t="s">
        <v>9</v>
      </c>
      <c r="AM35" t="s">
        <v>9</v>
      </c>
      <c r="AN35" t="s">
        <v>9</v>
      </c>
      <c r="AO35" t="s">
        <v>9</v>
      </c>
      <c r="AP35" t="s">
        <v>9</v>
      </c>
      <c r="AQ35" t="s">
        <v>9</v>
      </c>
      <c r="AR35" t="s">
        <v>9</v>
      </c>
      <c r="AS35" t="s">
        <v>9</v>
      </c>
      <c r="AT35" t="s">
        <v>9</v>
      </c>
      <c r="AU35" t="s">
        <v>9</v>
      </c>
      <c r="AV35" t="s">
        <v>9</v>
      </c>
      <c r="AW35" t="s">
        <v>9</v>
      </c>
      <c r="AX35" t="s">
        <v>9</v>
      </c>
      <c r="AY35" t="s">
        <v>9</v>
      </c>
      <c r="AZ35" t="s">
        <v>9</v>
      </c>
      <c r="BA35" t="s">
        <v>9</v>
      </c>
      <c r="BB35" t="s">
        <v>9</v>
      </c>
      <c r="BC35" t="s">
        <v>9</v>
      </c>
      <c r="BD35" t="s">
        <v>9</v>
      </c>
      <c r="BE35" t="s">
        <v>9</v>
      </c>
      <c r="BF35" t="s">
        <v>9</v>
      </c>
      <c r="BG35" t="s">
        <v>9</v>
      </c>
      <c r="BH35" t="s">
        <v>9</v>
      </c>
      <c r="BI35" t="s">
        <v>9</v>
      </c>
      <c r="BJ35" t="s">
        <v>9</v>
      </c>
    </row>
    <row r="36" spans="1:62">
      <c r="A36" t="s">
        <v>315</v>
      </c>
      <c r="B36" s="133" t="s">
        <v>591</v>
      </c>
      <c r="C36" s="133" t="str">
        <f>IF(COUNTIF(Measure_62443_2_1[[#This Row],[G 0.13 Interception of Compromising Interference Signals]:[IND.3.2.3 Insufficient regulations for the use of OT remote maintenance access]],"X")&gt;0,"X","")</f>
        <v/>
      </c>
      <c r="D36" t="s">
        <v>9</v>
      </c>
      <c r="E36" t="s">
        <v>9</v>
      </c>
      <c r="F36" t="s">
        <v>9</v>
      </c>
      <c r="G36" t="s">
        <v>9</v>
      </c>
      <c r="H36" t="s">
        <v>9</v>
      </c>
      <c r="I36" t="s">
        <v>9</v>
      </c>
      <c r="J36" t="s">
        <v>9</v>
      </c>
      <c r="K36" t="s">
        <v>9</v>
      </c>
      <c r="L36" t="s">
        <v>9</v>
      </c>
      <c r="M36" t="s">
        <v>9</v>
      </c>
      <c r="N36" t="s">
        <v>9</v>
      </c>
      <c r="O36" t="s">
        <v>9</v>
      </c>
      <c r="P36" t="s">
        <v>9</v>
      </c>
      <c r="Q36" t="s">
        <v>9</v>
      </c>
      <c r="R36" t="s">
        <v>9</v>
      </c>
      <c r="S36" t="s">
        <v>9</v>
      </c>
      <c r="T36" t="s">
        <v>9</v>
      </c>
      <c r="U36" t="s">
        <v>9</v>
      </c>
      <c r="V36" t="s">
        <v>9</v>
      </c>
      <c r="W36" t="s">
        <v>9</v>
      </c>
      <c r="X36" t="s">
        <v>9</v>
      </c>
      <c r="Y36" t="s">
        <v>9</v>
      </c>
      <c r="Z36" t="s">
        <v>9</v>
      </c>
      <c r="AA36" t="s">
        <v>9</v>
      </c>
      <c r="AB36" t="s">
        <v>9</v>
      </c>
      <c r="AC36" t="s">
        <v>9</v>
      </c>
      <c r="AD36" t="s">
        <v>9</v>
      </c>
      <c r="AE36" t="s">
        <v>9</v>
      </c>
      <c r="AF36" t="s">
        <v>9</v>
      </c>
      <c r="AG36" t="s">
        <v>9</v>
      </c>
      <c r="AH36" t="s">
        <v>9</v>
      </c>
      <c r="AI36" t="s">
        <v>9</v>
      </c>
      <c r="AJ36" t="s">
        <v>9</v>
      </c>
      <c r="AK36" t="s">
        <v>9</v>
      </c>
      <c r="AL36" t="s">
        <v>9</v>
      </c>
      <c r="AM36" t="s">
        <v>9</v>
      </c>
      <c r="AN36" t="s">
        <v>9</v>
      </c>
      <c r="AO36" t="s">
        <v>9</v>
      </c>
      <c r="AP36" t="s">
        <v>9</v>
      </c>
      <c r="AQ36" t="s">
        <v>9</v>
      </c>
      <c r="AR36" t="s">
        <v>9</v>
      </c>
      <c r="AS36" t="s">
        <v>9</v>
      </c>
      <c r="AT36" t="s">
        <v>9</v>
      </c>
      <c r="AU36" t="s">
        <v>9</v>
      </c>
      <c r="AV36" t="s">
        <v>9</v>
      </c>
      <c r="AW36" t="s">
        <v>9</v>
      </c>
      <c r="AX36" t="s">
        <v>9</v>
      </c>
      <c r="AY36" t="s">
        <v>9</v>
      </c>
      <c r="AZ36" t="s">
        <v>9</v>
      </c>
      <c r="BA36" t="s">
        <v>9</v>
      </c>
      <c r="BB36" t="s">
        <v>9</v>
      </c>
      <c r="BC36" t="s">
        <v>9</v>
      </c>
      <c r="BD36" t="s">
        <v>9</v>
      </c>
      <c r="BE36" t="s">
        <v>9</v>
      </c>
      <c r="BF36" t="s">
        <v>9</v>
      </c>
      <c r="BG36" t="s">
        <v>9</v>
      </c>
      <c r="BH36" t="s">
        <v>9</v>
      </c>
      <c r="BI36" t="s">
        <v>9</v>
      </c>
      <c r="BJ36" t="s">
        <v>9</v>
      </c>
    </row>
    <row r="37" spans="1:62">
      <c r="A37" t="s">
        <v>316</v>
      </c>
      <c r="B37" s="133" t="s">
        <v>591</v>
      </c>
      <c r="C37" s="133" t="str">
        <f>IF(COUNTIF(Measure_62443_2_1[[#This Row],[G 0.13 Interception of Compromising Interference Signals]:[IND.3.2.3 Insufficient regulations for the use of OT remote maintenance access]],"X")&gt;0,"X","")</f>
        <v/>
      </c>
      <c r="D37" t="s">
        <v>9</v>
      </c>
      <c r="E37" t="s">
        <v>9</v>
      </c>
      <c r="F37" t="s">
        <v>9</v>
      </c>
      <c r="G37" t="s">
        <v>9</v>
      </c>
      <c r="H37" t="s">
        <v>9</v>
      </c>
      <c r="I37" t="s">
        <v>9</v>
      </c>
      <c r="J37" t="s">
        <v>9</v>
      </c>
      <c r="K37" t="s">
        <v>9</v>
      </c>
      <c r="L37" t="s">
        <v>9</v>
      </c>
      <c r="M37" t="s">
        <v>9</v>
      </c>
      <c r="N37" t="s">
        <v>9</v>
      </c>
      <c r="O37" t="s">
        <v>9</v>
      </c>
      <c r="P37" t="s">
        <v>9</v>
      </c>
      <c r="Q37" t="s">
        <v>9</v>
      </c>
      <c r="R37" t="s">
        <v>9</v>
      </c>
      <c r="S37" t="s">
        <v>9</v>
      </c>
      <c r="T37" t="s">
        <v>9</v>
      </c>
      <c r="U37" t="s">
        <v>9</v>
      </c>
      <c r="V37" t="s">
        <v>9</v>
      </c>
      <c r="W37" t="s">
        <v>9</v>
      </c>
      <c r="X37" t="s">
        <v>9</v>
      </c>
      <c r="Y37" t="s">
        <v>9</v>
      </c>
      <c r="Z37" t="s">
        <v>9</v>
      </c>
      <c r="AA37" t="s">
        <v>9</v>
      </c>
      <c r="AB37" t="s">
        <v>9</v>
      </c>
      <c r="AC37" t="s">
        <v>9</v>
      </c>
      <c r="AD37" t="s">
        <v>9</v>
      </c>
      <c r="AE37" t="s">
        <v>9</v>
      </c>
      <c r="AF37" t="s">
        <v>9</v>
      </c>
      <c r="AG37" t="s">
        <v>9</v>
      </c>
      <c r="AH37" t="s">
        <v>9</v>
      </c>
      <c r="AI37" t="s">
        <v>9</v>
      </c>
      <c r="AJ37" t="s">
        <v>9</v>
      </c>
      <c r="AK37" t="s">
        <v>9</v>
      </c>
      <c r="AL37" t="s">
        <v>9</v>
      </c>
      <c r="AM37" t="s">
        <v>9</v>
      </c>
      <c r="AN37" t="s">
        <v>9</v>
      </c>
      <c r="AO37" t="s">
        <v>9</v>
      </c>
      <c r="AP37" t="s">
        <v>9</v>
      </c>
      <c r="AQ37" t="s">
        <v>9</v>
      </c>
      <c r="AR37" t="s">
        <v>9</v>
      </c>
      <c r="AS37" t="s">
        <v>9</v>
      </c>
      <c r="AT37" t="s">
        <v>9</v>
      </c>
      <c r="AU37" t="s">
        <v>9</v>
      </c>
      <c r="AV37" t="s">
        <v>9</v>
      </c>
      <c r="AW37" t="s">
        <v>9</v>
      </c>
      <c r="AX37" t="s">
        <v>9</v>
      </c>
      <c r="AY37" t="s">
        <v>9</v>
      </c>
      <c r="AZ37" t="s">
        <v>9</v>
      </c>
      <c r="BA37" t="s">
        <v>9</v>
      </c>
      <c r="BB37" t="s">
        <v>9</v>
      </c>
      <c r="BC37" t="s">
        <v>9</v>
      </c>
      <c r="BD37" t="s">
        <v>9</v>
      </c>
      <c r="BE37" t="s">
        <v>9</v>
      </c>
      <c r="BF37" t="s">
        <v>9</v>
      </c>
      <c r="BG37" t="s">
        <v>9</v>
      </c>
      <c r="BH37" t="s">
        <v>9</v>
      </c>
      <c r="BI37" t="s">
        <v>9</v>
      </c>
      <c r="BJ37" t="s">
        <v>9</v>
      </c>
    </row>
    <row r="38" spans="1:62">
      <c r="A38" t="s">
        <v>317</v>
      </c>
      <c r="B38" s="133" t="s">
        <v>591</v>
      </c>
      <c r="C38" s="133" t="str">
        <f>IF(COUNTIF(Measure_62443_2_1[[#This Row],[G 0.13 Interception of Compromising Interference Signals]:[IND.3.2.3 Insufficient regulations for the use of OT remote maintenance access]],"X")&gt;0,"X","")</f>
        <v/>
      </c>
      <c r="D38" t="s">
        <v>9</v>
      </c>
      <c r="E38" t="s">
        <v>9</v>
      </c>
      <c r="F38" t="s">
        <v>9</v>
      </c>
      <c r="G38" t="s">
        <v>9</v>
      </c>
      <c r="H38" t="s">
        <v>9</v>
      </c>
      <c r="I38" t="s">
        <v>9</v>
      </c>
      <c r="J38" t="s">
        <v>9</v>
      </c>
      <c r="K38" t="s">
        <v>9</v>
      </c>
      <c r="L38" t="s">
        <v>9</v>
      </c>
      <c r="M38" t="s">
        <v>9</v>
      </c>
      <c r="N38" t="s">
        <v>9</v>
      </c>
      <c r="O38" t="s">
        <v>9</v>
      </c>
      <c r="P38" t="s">
        <v>9</v>
      </c>
      <c r="Q38" t="s">
        <v>9</v>
      </c>
      <c r="R38" t="s">
        <v>9</v>
      </c>
      <c r="S38" t="s">
        <v>9</v>
      </c>
      <c r="T38" t="s">
        <v>9</v>
      </c>
      <c r="U38" t="s">
        <v>9</v>
      </c>
      <c r="V38" t="s">
        <v>9</v>
      </c>
      <c r="W38" t="s">
        <v>9</v>
      </c>
      <c r="X38" t="s">
        <v>9</v>
      </c>
      <c r="Y38" t="s">
        <v>9</v>
      </c>
      <c r="Z38" t="s">
        <v>9</v>
      </c>
      <c r="AA38" t="s">
        <v>9</v>
      </c>
      <c r="AB38" t="s">
        <v>9</v>
      </c>
      <c r="AC38" t="s">
        <v>9</v>
      </c>
      <c r="AD38" t="s">
        <v>9</v>
      </c>
      <c r="AE38" t="s">
        <v>9</v>
      </c>
      <c r="AF38" t="s">
        <v>9</v>
      </c>
      <c r="AG38" t="s">
        <v>9</v>
      </c>
      <c r="AH38" t="s">
        <v>9</v>
      </c>
      <c r="AI38" t="s">
        <v>9</v>
      </c>
      <c r="AJ38" t="s">
        <v>9</v>
      </c>
      <c r="AK38" t="s">
        <v>9</v>
      </c>
      <c r="AL38" t="s">
        <v>9</v>
      </c>
      <c r="AM38" t="s">
        <v>9</v>
      </c>
      <c r="AN38" t="s">
        <v>9</v>
      </c>
      <c r="AO38" t="s">
        <v>9</v>
      </c>
      <c r="AP38" t="s">
        <v>9</v>
      </c>
      <c r="AQ38" t="s">
        <v>9</v>
      </c>
      <c r="AR38" t="s">
        <v>9</v>
      </c>
      <c r="AS38" t="s">
        <v>9</v>
      </c>
      <c r="AT38" t="s">
        <v>9</v>
      </c>
      <c r="AU38" t="s">
        <v>9</v>
      </c>
      <c r="AV38" t="s">
        <v>9</v>
      </c>
      <c r="AW38" t="s">
        <v>9</v>
      </c>
      <c r="AX38" t="s">
        <v>9</v>
      </c>
      <c r="AY38" t="s">
        <v>9</v>
      </c>
      <c r="AZ38" t="s">
        <v>9</v>
      </c>
      <c r="BA38" t="s">
        <v>9</v>
      </c>
      <c r="BB38" t="s">
        <v>9</v>
      </c>
      <c r="BC38" t="s">
        <v>9</v>
      </c>
      <c r="BD38" t="s">
        <v>9</v>
      </c>
      <c r="BE38" t="s">
        <v>9</v>
      </c>
      <c r="BF38" t="s">
        <v>9</v>
      </c>
      <c r="BG38" t="s">
        <v>9</v>
      </c>
      <c r="BH38" t="s">
        <v>9</v>
      </c>
      <c r="BI38" t="s">
        <v>9</v>
      </c>
      <c r="BJ38" t="s">
        <v>9</v>
      </c>
    </row>
    <row r="39" spans="1:62">
      <c r="A39" t="s">
        <v>318</v>
      </c>
      <c r="B39" s="133" t="s">
        <v>591</v>
      </c>
      <c r="C39" s="133" t="str">
        <f>IF(COUNTIF(Measure_62443_2_1[[#This Row],[G 0.13 Interception of Compromising Interference Signals]:[IND.3.2.3 Insufficient regulations for the use of OT remote maintenance access]],"X")&gt;0,"X","")</f>
        <v/>
      </c>
      <c r="D39" t="s">
        <v>9</v>
      </c>
      <c r="E39" t="s">
        <v>9</v>
      </c>
      <c r="F39" t="s">
        <v>9</v>
      </c>
      <c r="G39" t="s">
        <v>9</v>
      </c>
      <c r="H39" t="s">
        <v>9</v>
      </c>
      <c r="I39" t="s">
        <v>9</v>
      </c>
      <c r="J39" t="s">
        <v>9</v>
      </c>
      <c r="K39" t="s">
        <v>9</v>
      </c>
      <c r="L39" t="s">
        <v>9</v>
      </c>
      <c r="M39" t="s">
        <v>9</v>
      </c>
      <c r="N39" t="s">
        <v>9</v>
      </c>
      <c r="O39" t="s">
        <v>9</v>
      </c>
      <c r="P39" t="s">
        <v>9</v>
      </c>
      <c r="Q39" t="s">
        <v>9</v>
      </c>
      <c r="R39" t="s">
        <v>9</v>
      </c>
      <c r="S39" t="s">
        <v>9</v>
      </c>
      <c r="T39" t="s">
        <v>9</v>
      </c>
      <c r="U39" t="s">
        <v>9</v>
      </c>
      <c r="V39" t="s">
        <v>9</v>
      </c>
      <c r="W39" t="s">
        <v>9</v>
      </c>
      <c r="X39" t="s">
        <v>9</v>
      </c>
      <c r="Y39" t="s">
        <v>9</v>
      </c>
      <c r="Z39" t="s">
        <v>9</v>
      </c>
      <c r="AA39" t="s">
        <v>9</v>
      </c>
      <c r="AB39" t="s">
        <v>9</v>
      </c>
      <c r="AC39" t="s">
        <v>9</v>
      </c>
      <c r="AD39" t="s">
        <v>9</v>
      </c>
      <c r="AE39" t="s">
        <v>9</v>
      </c>
      <c r="AF39" t="s">
        <v>9</v>
      </c>
      <c r="AG39" t="s">
        <v>9</v>
      </c>
      <c r="AH39" t="s">
        <v>9</v>
      </c>
      <c r="AI39" t="s">
        <v>9</v>
      </c>
      <c r="AJ39" t="s">
        <v>9</v>
      </c>
      <c r="AK39" t="s">
        <v>9</v>
      </c>
      <c r="AL39" t="s">
        <v>9</v>
      </c>
      <c r="AM39" t="s">
        <v>9</v>
      </c>
      <c r="AN39" t="s">
        <v>9</v>
      </c>
      <c r="AO39" t="s">
        <v>9</v>
      </c>
      <c r="AP39" t="s">
        <v>9</v>
      </c>
      <c r="AQ39" t="s">
        <v>9</v>
      </c>
      <c r="AR39" t="s">
        <v>9</v>
      </c>
      <c r="AS39" t="s">
        <v>9</v>
      </c>
      <c r="AT39" t="s">
        <v>9</v>
      </c>
      <c r="AU39" t="s">
        <v>9</v>
      </c>
      <c r="AV39" t="s">
        <v>9</v>
      </c>
      <c r="AW39" t="s">
        <v>9</v>
      </c>
      <c r="AX39" t="s">
        <v>9</v>
      </c>
      <c r="AY39" t="s">
        <v>9</v>
      </c>
      <c r="AZ39" t="s">
        <v>9</v>
      </c>
      <c r="BA39" t="s">
        <v>9</v>
      </c>
      <c r="BB39" t="s">
        <v>9</v>
      </c>
      <c r="BC39" t="s">
        <v>9</v>
      </c>
      <c r="BD39" t="s">
        <v>9</v>
      </c>
      <c r="BE39" t="s">
        <v>9</v>
      </c>
      <c r="BF39" t="s">
        <v>9</v>
      </c>
      <c r="BG39" t="s">
        <v>9</v>
      </c>
      <c r="BH39" t="s">
        <v>9</v>
      </c>
      <c r="BI39" t="s">
        <v>9</v>
      </c>
      <c r="BJ39" t="s">
        <v>9</v>
      </c>
    </row>
    <row r="40" spans="1:62">
      <c r="A40" t="s">
        <v>319</v>
      </c>
      <c r="B40" s="133" t="s">
        <v>591</v>
      </c>
      <c r="C40" s="133" t="str">
        <f>IF(COUNTIF(Measure_62443_2_1[[#This Row],[G 0.13 Interception of Compromising Interference Signals]:[IND.3.2.3 Insufficient regulations for the use of OT remote maintenance access]],"X")&gt;0,"X","")</f>
        <v/>
      </c>
      <c r="D40" t="s">
        <v>9</v>
      </c>
      <c r="E40" t="s">
        <v>9</v>
      </c>
      <c r="F40" t="s">
        <v>9</v>
      </c>
      <c r="G40" t="s">
        <v>9</v>
      </c>
      <c r="H40" t="s">
        <v>9</v>
      </c>
      <c r="I40" t="s">
        <v>9</v>
      </c>
      <c r="J40" t="s">
        <v>9</v>
      </c>
      <c r="K40" t="s">
        <v>9</v>
      </c>
      <c r="L40" t="s">
        <v>9</v>
      </c>
      <c r="M40" t="s">
        <v>9</v>
      </c>
      <c r="N40" t="s">
        <v>9</v>
      </c>
      <c r="O40" t="s">
        <v>9</v>
      </c>
      <c r="P40" t="s">
        <v>9</v>
      </c>
      <c r="Q40" t="s">
        <v>9</v>
      </c>
      <c r="R40" t="s">
        <v>9</v>
      </c>
      <c r="S40" t="s">
        <v>9</v>
      </c>
      <c r="T40" t="s">
        <v>9</v>
      </c>
      <c r="U40" t="s">
        <v>9</v>
      </c>
      <c r="V40" t="s">
        <v>9</v>
      </c>
      <c r="W40" t="s">
        <v>9</v>
      </c>
      <c r="X40" t="s">
        <v>9</v>
      </c>
      <c r="Y40" t="s">
        <v>9</v>
      </c>
      <c r="Z40" t="s">
        <v>9</v>
      </c>
      <c r="AA40" t="s">
        <v>9</v>
      </c>
      <c r="AB40" t="s">
        <v>9</v>
      </c>
      <c r="AC40" t="s">
        <v>9</v>
      </c>
      <c r="AD40" t="s">
        <v>9</v>
      </c>
      <c r="AE40" t="s">
        <v>9</v>
      </c>
      <c r="AF40" t="s">
        <v>9</v>
      </c>
      <c r="AG40" t="s">
        <v>9</v>
      </c>
      <c r="AH40" t="s">
        <v>9</v>
      </c>
      <c r="AI40" t="s">
        <v>9</v>
      </c>
      <c r="AJ40" t="s">
        <v>9</v>
      </c>
      <c r="AK40" t="s">
        <v>9</v>
      </c>
      <c r="AL40" t="s">
        <v>9</v>
      </c>
      <c r="AM40" t="s">
        <v>9</v>
      </c>
      <c r="AN40" t="s">
        <v>9</v>
      </c>
      <c r="AO40" t="s">
        <v>9</v>
      </c>
      <c r="AP40" t="s">
        <v>9</v>
      </c>
      <c r="AQ40" t="s">
        <v>9</v>
      </c>
      <c r="AR40" t="s">
        <v>9</v>
      </c>
      <c r="AS40" t="s">
        <v>9</v>
      </c>
      <c r="AT40" t="s">
        <v>9</v>
      </c>
      <c r="AU40" t="s">
        <v>9</v>
      </c>
      <c r="AV40" t="s">
        <v>9</v>
      </c>
      <c r="AW40" t="s">
        <v>9</v>
      </c>
      <c r="AX40" t="s">
        <v>9</v>
      </c>
      <c r="AY40" t="s">
        <v>9</v>
      </c>
      <c r="AZ40" t="s">
        <v>9</v>
      </c>
      <c r="BA40" t="s">
        <v>9</v>
      </c>
      <c r="BB40" t="s">
        <v>9</v>
      </c>
      <c r="BC40" t="s">
        <v>9</v>
      </c>
      <c r="BD40" t="s">
        <v>9</v>
      </c>
      <c r="BE40" t="s">
        <v>9</v>
      </c>
      <c r="BF40" t="s">
        <v>9</v>
      </c>
      <c r="BG40" t="s">
        <v>9</v>
      </c>
      <c r="BH40" t="s">
        <v>9</v>
      </c>
      <c r="BI40" t="s">
        <v>9</v>
      </c>
      <c r="BJ40" t="s">
        <v>9</v>
      </c>
    </row>
    <row r="41" spans="1:62">
      <c r="A41" t="s">
        <v>320</v>
      </c>
      <c r="B41" s="133" t="s">
        <v>591</v>
      </c>
      <c r="C41" s="133" t="str">
        <f>IF(COUNTIF(Measure_62443_2_1[[#This Row],[G 0.13 Interception of Compromising Interference Signals]:[IND.3.2.3 Insufficient regulations for the use of OT remote maintenance access]],"X")&gt;0,"X","")</f>
        <v/>
      </c>
      <c r="D41" t="s">
        <v>9</v>
      </c>
      <c r="E41" t="s">
        <v>9</v>
      </c>
      <c r="F41" t="s">
        <v>9</v>
      </c>
      <c r="G41" t="s">
        <v>9</v>
      </c>
      <c r="H41" t="s">
        <v>9</v>
      </c>
      <c r="I41" t="s">
        <v>9</v>
      </c>
      <c r="J41" t="s">
        <v>9</v>
      </c>
      <c r="K41" t="s">
        <v>9</v>
      </c>
      <c r="L41" t="s">
        <v>9</v>
      </c>
      <c r="M41" t="s">
        <v>9</v>
      </c>
      <c r="N41" t="s">
        <v>9</v>
      </c>
      <c r="O41" t="s">
        <v>9</v>
      </c>
      <c r="P41" t="s">
        <v>9</v>
      </c>
      <c r="Q41" t="s">
        <v>9</v>
      </c>
      <c r="R41" t="s">
        <v>9</v>
      </c>
      <c r="S41" t="s">
        <v>9</v>
      </c>
      <c r="T41" t="s">
        <v>9</v>
      </c>
      <c r="U41" t="s">
        <v>9</v>
      </c>
      <c r="V41" t="s">
        <v>9</v>
      </c>
      <c r="W41" t="s">
        <v>9</v>
      </c>
      <c r="X41" t="s">
        <v>9</v>
      </c>
      <c r="Y41" t="s">
        <v>9</v>
      </c>
      <c r="Z41" t="s">
        <v>9</v>
      </c>
      <c r="AA41" t="s">
        <v>9</v>
      </c>
      <c r="AB41" t="s">
        <v>9</v>
      </c>
      <c r="AC41" t="s">
        <v>9</v>
      </c>
      <c r="AD41" t="s">
        <v>9</v>
      </c>
      <c r="AE41" t="s">
        <v>9</v>
      </c>
      <c r="AF41" t="s">
        <v>9</v>
      </c>
      <c r="AG41" t="s">
        <v>9</v>
      </c>
      <c r="AH41" t="s">
        <v>9</v>
      </c>
      <c r="AI41" t="s">
        <v>9</v>
      </c>
      <c r="AJ41" t="s">
        <v>9</v>
      </c>
      <c r="AK41" t="s">
        <v>9</v>
      </c>
      <c r="AL41" t="s">
        <v>9</v>
      </c>
      <c r="AM41" t="s">
        <v>9</v>
      </c>
      <c r="AN41" t="s">
        <v>9</v>
      </c>
      <c r="AO41" t="s">
        <v>9</v>
      </c>
      <c r="AP41" t="s">
        <v>9</v>
      </c>
      <c r="AQ41" t="s">
        <v>9</v>
      </c>
      <c r="AR41" t="s">
        <v>9</v>
      </c>
      <c r="AS41" t="s">
        <v>9</v>
      </c>
      <c r="AT41" t="s">
        <v>9</v>
      </c>
      <c r="AU41" t="s">
        <v>9</v>
      </c>
      <c r="AV41" t="s">
        <v>9</v>
      </c>
      <c r="AW41" t="s">
        <v>9</v>
      </c>
      <c r="AX41" t="s">
        <v>9</v>
      </c>
      <c r="AY41" t="s">
        <v>9</v>
      </c>
      <c r="AZ41" t="s">
        <v>9</v>
      </c>
      <c r="BA41" t="s">
        <v>9</v>
      </c>
      <c r="BB41" t="s">
        <v>9</v>
      </c>
      <c r="BC41" t="s">
        <v>9</v>
      </c>
      <c r="BD41" t="s">
        <v>9</v>
      </c>
      <c r="BE41" t="s">
        <v>9</v>
      </c>
      <c r="BF41" t="s">
        <v>9</v>
      </c>
      <c r="BG41" t="s">
        <v>9</v>
      </c>
      <c r="BH41" t="s">
        <v>9</v>
      </c>
      <c r="BI41" t="s">
        <v>9</v>
      </c>
      <c r="BJ41" t="s">
        <v>9</v>
      </c>
    </row>
    <row r="42" spans="1:62">
      <c r="A42" t="s">
        <v>321</v>
      </c>
      <c r="B42" s="133" t="s">
        <v>591</v>
      </c>
      <c r="C42" s="133" t="str">
        <f>IF(COUNTIF(Measure_62443_2_1[[#This Row],[G 0.13 Interception of Compromising Interference Signals]:[IND.3.2.3 Insufficient regulations for the use of OT remote maintenance access]],"X")&gt;0,"X","")</f>
        <v/>
      </c>
      <c r="D42" t="s">
        <v>9</v>
      </c>
      <c r="E42" t="s">
        <v>9</v>
      </c>
      <c r="F42" t="s">
        <v>9</v>
      </c>
      <c r="G42" t="s">
        <v>9</v>
      </c>
      <c r="H42" t="s">
        <v>9</v>
      </c>
      <c r="I42" t="s">
        <v>9</v>
      </c>
      <c r="J42" t="s">
        <v>9</v>
      </c>
      <c r="K42" t="s">
        <v>9</v>
      </c>
      <c r="L42" t="s">
        <v>9</v>
      </c>
      <c r="M42" t="s">
        <v>9</v>
      </c>
      <c r="N42" t="s">
        <v>9</v>
      </c>
      <c r="O42" t="s">
        <v>9</v>
      </c>
      <c r="P42" t="s">
        <v>9</v>
      </c>
      <c r="Q42" t="s">
        <v>9</v>
      </c>
      <c r="R42" t="s">
        <v>9</v>
      </c>
      <c r="S42" t="s">
        <v>9</v>
      </c>
      <c r="T42" t="s">
        <v>9</v>
      </c>
      <c r="U42" t="s">
        <v>9</v>
      </c>
      <c r="V42" t="s">
        <v>9</v>
      </c>
      <c r="W42" t="s">
        <v>9</v>
      </c>
      <c r="X42" t="s">
        <v>9</v>
      </c>
      <c r="Y42" t="s">
        <v>9</v>
      </c>
      <c r="Z42" t="s">
        <v>9</v>
      </c>
      <c r="AA42" t="s">
        <v>9</v>
      </c>
      <c r="AB42" t="s">
        <v>9</v>
      </c>
      <c r="AC42" t="s">
        <v>9</v>
      </c>
      <c r="AD42" t="s">
        <v>9</v>
      </c>
      <c r="AE42" t="s">
        <v>9</v>
      </c>
      <c r="AF42" t="s">
        <v>9</v>
      </c>
      <c r="AG42" t="s">
        <v>9</v>
      </c>
      <c r="AH42" t="s">
        <v>9</v>
      </c>
      <c r="AI42" t="s">
        <v>9</v>
      </c>
      <c r="AJ42" t="s">
        <v>9</v>
      </c>
      <c r="AK42" t="s">
        <v>9</v>
      </c>
      <c r="AL42" t="s">
        <v>9</v>
      </c>
      <c r="AM42" t="s">
        <v>9</v>
      </c>
      <c r="AN42" t="s">
        <v>9</v>
      </c>
      <c r="AO42" t="s">
        <v>9</v>
      </c>
      <c r="AP42" t="s">
        <v>9</v>
      </c>
      <c r="AQ42" t="s">
        <v>9</v>
      </c>
      <c r="AR42" t="s">
        <v>9</v>
      </c>
      <c r="AS42" t="s">
        <v>9</v>
      </c>
      <c r="AT42" t="s">
        <v>9</v>
      </c>
      <c r="AU42" t="s">
        <v>9</v>
      </c>
      <c r="AV42" t="s">
        <v>9</v>
      </c>
      <c r="AW42" t="s">
        <v>9</v>
      </c>
      <c r="AX42" t="s">
        <v>9</v>
      </c>
      <c r="AY42" t="s">
        <v>9</v>
      </c>
      <c r="AZ42" t="s">
        <v>9</v>
      </c>
      <c r="BA42" t="s">
        <v>9</v>
      </c>
      <c r="BB42" t="s">
        <v>9</v>
      </c>
      <c r="BC42" t="s">
        <v>9</v>
      </c>
      <c r="BD42" t="s">
        <v>9</v>
      </c>
      <c r="BE42" t="s">
        <v>9</v>
      </c>
      <c r="BF42" t="s">
        <v>9</v>
      </c>
      <c r="BG42" t="s">
        <v>9</v>
      </c>
      <c r="BH42" t="s">
        <v>9</v>
      </c>
      <c r="BI42" t="s">
        <v>9</v>
      </c>
      <c r="BJ42" t="s">
        <v>9</v>
      </c>
    </row>
    <row r="43" spans="1:62">
      <c r="A43" t="s">
        <v>322</v>
      </c>
      <c r="B43" s="133" t="s">
        <v>591</v>
      </c>
      <c r="C43" s="133" t="str">
        <f>IF(COUNTIF(Measure_62443_2_1[[#This Row],[G 0.13 Interception of Compromising Interference Signals]:[IND.3.2.3 Insufficient regulations for the use of OT remote maintenance access]],"X")&gt;0,"X","")</f>
        <v/>
      </c>
      <c r="D43" t="s">
        <v>9</v>
      </c>
      <c r="E43" t="s">
        <v>9</v>
      </c>
      <c r="F43" t="s">
        <v>9</v>
      </c>
      <c r="G43" t="s">
        <v>9</v>
      </c>
      <c r="H43" t="s">
        <v>9</v>
      </c>
      <c r="I43" t="s">
        <v>9</v>
      </c>
      <c r="J43" t="s">
        <v>9</v>
      </c>
      <c r="K43" t="s">
        <v>9</v>
      </c>
      <c r="L43" t="s">
        <v>9</v>
      </c>
      <c r="M43" t="s">
        <v>9</v>
      </c>
      <c r="N43" t="s">
        <v>9</v>
      </c>
      <c r="O43" t="s">
        <v>9</v>
      </c>
      <c r="P43" t="s">
        <v>9</v>
      </c>
      <c r="Q43" t="s">
        <v>9</v>
      </c>
      <c r="R43" t="s">
        <v>9</v>
      </c>
      <c r="S43" t="s">
        <v>9</v>
      </c>
      <c r="T43" t="s">
        <v>9</v>
      </c>
      <c r="U43" t="s">
        <v>9</v>
      </c>
      <c r="V43" t="s">
        <v>9</v>
      </c>
      <c r="W43" t="s">
        <v>9</v>
      </c>
      <c r="X43" t="s">
        <v>9</v>
      </c>
      <c r="Y43" t="s">
        <v>9</v>
      </c>
      <c r="Z43" t="s">
        <v>9</v>
      </c>
      <c r="AA43" t="s">
        <v>9</v>
      </c>
      <c r="AB43" t="s">
        <v>9</v>
      </c>
      <c r="AC43" t="s">
        <v>9</v>
      </c>
      <c r="AD43" t="s">
        <v>9</v>
      </c>
      <c r="AE43" t="s">
        <v>9</v>
      </c>
      <c r="AF43" t="s">
        <v>9</v>
      </c>
      <c r="AG43" t="s">
        <v>9</v>
      </c>
      <c r="AH43" t="s">
        <v>9</v>
      </c>
      <c r="AI43" t="s">
        <v>9</v>
      </c>
      <c r="AJ43" t="s">
        <v>9</v>
      </c>
      <c r="AK43" t="s">
        <v>9</v>
      </c>
      <c r="AL43" t="s">
        <v>9</v>
      </c>
      <c r="AM43" t="s">
        <v>9</v>
      </c>
      <c r="AN43" t="s">
        <v>9</v>
      </c>
      <c r="AO43" t="s">
        <v>9</v>
      </c>
      <c r="AP43" t="s">
        <v>9</v>
      </c>
      <c r="AQ43" t="s">
        <v>9</v>
      </c>
      <c r="AR43" t="s">
        <v>9</v>
      </c>
      <c r="AS43" t="s">
        <v>9</v>
      </c>
      <c r="AT43" t="s">
        <v>9</v>
      </c>
      <c r="AU43" t="s">
        <v>9</v>
      </c>
      <c r="AV43" t="s">
        <v>9</v>
      </c>
      <c r="AW43" t="s">
        <v>9</v>
      </c>
      <c r="AX43" t="s">
        <v>9</v>
      </c>
      <c r="AY43" t="s">
        <v>9</v>
      </c>
      <c r="AZ43" t="s">
        <v>9</v>
      </c>
      <c r="BA43" t="s">
        <v>9</v>
      </c>
      <c r="BB43" t="s">
        <v>9</v>
      </c>
      <c r="BC43" t="s">
        <v>9</v>
      </c>
      <c r="BD43" t="s">
        <v>9</v>
      </c>
      <c r="BE43" t="s">
        <v>9</v>
      </c>
      <c r="BF43" t="s">
        <v>9</v>
      </c>
      <c r="BG43" t="s">
        <v>9</v>
      </c>
      <c r="BH43" t="s">
        <v>9</v>
      </c>
      <c r="BI43" t="s">
        <v>9</v>
      </c>
      <c r="BJ43" t="s">
        <v>9</v>
      </c>
    </row>
    <row r="44" spans="1:62">
      <c r="A44" t="s">
        <v>323</v>
      </c>
      <c r="B44" s="133" t="s">
        <v>591</v>
      </c>
      <c r="C44" s="133" t="str">
        <f>IF(COUNTIF(Measure_62443_2_1[[#This Row],[G 0.13 Interception of Compromising Interference Signals]:[IND.3.2.3 Insufficient regulations for the use of OT remote maintenance access]],"X")&gt;0,"X","")</f>
        <v/>
      </c>
      <c r="D44" t="s">
        <v>9</v>
      </c>
      <c r="E44" t="s">
        <v>9</v>
      </c>
      <c r="F44" t="s">
        <v>9</v>
      </c>
      <c r="G44" t="s">
        <v>9</v>
      </c>
      <c r="H44" t="s">
        <v>9</v>
      </c>
      <c r="I44" t="s">
        <v>9</v>
      </c>
      <c r="J44" t="s">
        <v>9</v>
      </c>
      <c r="K44" t="s">
        <v>9</v>
      </c>
      <c r="L44" t="s">
        <v>9</v>
      </c>
      <c r="M44" t="s">
        <v>9</v>
      </c>
      <c r="N44" t="s">
        <v>9</v>
      </c>
      <c r="O44" t="s">
        <v>9</v>
      </c>
      <c r="P44" t="s">
        <v>9</v>
      </c>
      <c r="Q44" t="s">
        <v>9</v>
      </c>
      <c r="R44" t="s">
        <v>9</v>
      </c>
      <c r="S44" t="s">
        <v>9</v>
      </c>
      <c r="T44" t="s">
        <v>9</v>
      </c>
      <c r="U44" t="s">
        <v>9</v>
      </c>
      <c r="V44" t="s">
        <v>9</v>
      </c>
      <c r="W44" t="s">
        <v>9</v>
      </c>
      <c r="X44" t="s">
        <v>9</v>
      </c>
      <c r="Y44" t="s">
        <v>9</v>
      </c>
      <c r="Z44" t="s">
        <v>9</v>
      </c>
      <c r="AA44" t="s">
        <v>9</v>
      </c>
      <c r="AB44" t="s">
        <v>9</v>
      </c>
      <c r="AC44" t="s">
        <v>9</v>
      </c>
      <c r="AD44" t="s">
        <v>9</v>
      </c>
      <c r="AE44" t="s">
        <v>9</v>
      </c>
      <c r="AF44" t="s">
        <v>9</v>
      </c>
      <c r="AG44" t="s">
        <v>9</v>
      </c>
      <c r="AH44" t="s">
        <v>9</v>
      </c>
      <c r="AI44" t="s">
        <v>9</v>
      </c>
      <c r="AJ44" t="s">
        <v>9</v>
      </c>
      <c r="AK44" t="s">
        <v>9</v>
      </c>
      <c r="AL44" t="s">
        <v>9</v>
      </c>
      <c r="AM44" t="s">
        <v>9</v>
      </c>
      <c r="AN44" t="s">
        <v>9</v>
      </c>
      <c r="AO44" t="s">
        <v>9</v>
      </c>
      <c r="AP44" t="s">
        <v>9</v>
      </c>
      <c r="AQ44" t="s">
        <v>9</v>
      </c>
      <c r="AR44" t="s">
        <v>9</v>
      </c>
      <c r="AS44" t="s">
        <v>9</v>
      </c>
      <c r="AT44" t="s">
        <v>9</v>
      </c>
      <c r="AU44" t="s">
        <v>9</v>
      </c>
      <c r="AV44" t="s">
        <v>9</v>
      </c>
      <c r="AW44" t="s">
        <v>9</v>
      </c>
      <c r="AX44" t="s">
        <v>9</v>
      </c>
      <c r="AY44" t="s">
        <v>9</v>
      </c>
      <c r="AZ44" t="s">
        <v>9</v>
      </c>
      <c r="BA44" t="s">
        <v>9</v>
      </c>
      <c r="BB44" t="s">
        <v>9</v>
      </c>
      <c r="BC44" t="s">
        <v>9</v>
      </c>
      <c r="BD44" t="s">
        <v>9</v>
      </c>
      <c r="BE44" t="s">
        <v>9</v>
      </c>
      <c r="BF44" t="s">
        <v>9</v>
      </c>
      <c r="BG44" t="s">
        <v>9</v>
      </c>
      <c r="BH44" t="s">
        <v>9</v>
      </c>
      <c r="BI44" t="s">
        <v>9</v>
      </c>
      <c r="BJ44" t="s">
        <v>9</v>
      </c>
    </row>
    <row r="45" spans="1:62">
      <c r="A45" t="s">
        <v>324</v>
      </c>
      <c r="B45" s="133" t="s">
        <v>591</v>
      </c>
      <c r="C45" s="133" t="str">
        <f>IF(COUNTIF(Measure_62443_2_1[[#This Row],[G 0.13 Interception of Compromising Interference Signals]:[IND.3.2.3 Insufficient regulations for the use of OT remote maintenance access]],"X")&gt;0,"X","")</f>
        <v/>
      </c>
      <c r="D45" t="s">
        <v>9</v>
      </c>
      <c r="E45" t="s">
        <v>9</v>
      </c>
      <c r="F45" t="s">
        <v>9</v>
      </c>
      <c r="G45" t="s">
        <v>9</v>
      </c>
      <c r="H45" t="s">
        <v>9</v>
      </c>
      <c r="I45" t="s">
        <v>9</v>
      </c>
      <c r="J45" t="s">
        <v>9</v>
      </c>
      <c r="K45" t="s">
        <v>9</v>
      </c>
      <c r="L45" t="s">
        <v>9</v>
      </c>
      <c r="M45" t="s">
        <v>9</v>
      </c>
      <c r="N45" t="s">
        <v>9</v>
      </c>
      <c r="O45" t="s">
        <v>9</v>
      </c>
      <c r="P45" t="s">
        <v>9</v>
      </c>
      <c r="Q45" t="s">
        <v>9</v>
      </c>
      <c r="R45" t="s">
        <v>9</v>
      </c>
      <c r="S45" t="s">
        <v>9</v>
      </c>
      <c r="T45" t="s">
        <v>9</v>
      </c>
      <c r="U45" t="s">
        <v>9</v>
      </c>
      <c r="V45" t="s">
        <v>9</v>
      </c>
      <c r="W45" t="s">
        <v>9</v>
      </c>
      <c r="X45" t="s">
        <v>9</v>
      </c>
      <c r="Y45" t="s">
        <v>9</v>
      </c>
      <c r="Z45" t="s">
        <v>9</v>
      </c>
      <c r="AA45" t="s">
        <v>9</v>
      </c>
      <c r="AB45" t="s">
        <v>9</v>
      </c>
      <c r="AC45" t="s">
        <v>9</v>
      </c>
      <c r="AD45" t="s">
        <v>9</v>
      </c>
      <c r="AE45" t="s">
        <v>9</v>
      </c>
      <c r="AF45" t="s">
        <v>9</v>
      </c>
      <c r="AG45" t="s">
        <v>9</v>
      </c>
      <c r="AH45" t="s">
        <v>9</v>
      </c>
      <c r="AI45" t="s">
        <v>9</v>
      </c>
      <c r="AJ45" t="s">
        <v>9</v>
      </c>
      <c r="AK45" t="s">
        <v>9</v>
      </c>
      <c r="AL45" t="s">
        <v>9</v>
      </c>
      <c r="AM45" t="s">
        <v>9</v>
      </c>
      <c r="AN45" t="s">
        <v>9</v>
      </c>
      <c r="AO45" t="s">
        <v>9</v>
      </c>
      <c r="AP45" t="s">
        <v>9</v>
      </c>
      <c r="AQ45" t="s">
        <v>9</v>
      </c>
      <c r="AR45" t="s">
        <v>9</v>
      </c>
      <c r="AS45" t="s">
        <v>9</v>
      </c>
      <c r="AT45" t="s">
        <v>9</v>
      </c>
      <c r="AU45" t="s">
        <v>9</v>
      </c>
      <c r="AV45" t="s">
        <v>9</v>
      </c>
      <c r="AW45" t="s">
        <v>9</v>
      </c>
      <c r="AX45" t="s">
        <v>9</v>
      </c>
      <c r="AY45" t="s">
        <v>9</v>
      </c>
      <c r="AZ45" t="s">
        <v>9</v>
      </c>
      <c r="BA45" t="s">
        <v>9</v>
      </c>
      <c r="BB45" t="s">
        <v>9</v>
      </c>
      <c r="BC45" t="s">
        <v>9</v>
      </c>
      <c r="BD45" t="s">
        <v>9</v>
      </c>
      <c r="BE45" t="s">
        <v>9</v>
      </c>
      <c r="BF45" t="s">
        <v>9</v>
      </c>
      <c r="BG45" t="s">
        <v>9</v>
      </c>
      <c r="BH45" t="s">
        <v>9</v>
      </c>
      <c r="BI45" t="s">
        <v>9</v>
      </c>
      <c r="BJ45" t="s">
        <v>9</v>
      </c>
    </row>
    <row r="46" spans="1:62">
      <c r="A46" t="s">
        <v>325</v>
      </c>
      <c r="B46" s="133" t="s">
        <v>591</v>
      </c>
      <c r="C46" s="133" t="str">
        <f>IF(COUNTIF(Measure_62443_2_1[[#This Row],[G 0.13 Interception of Compromising Interference Signals]:[IND.3.2.3 Insufficient regulations for the use of OT remote maintenance access]],"X")&gt;0,"X","")</f>
        <v/>
      </c>
      <c r="D46" t="s">
        <v>9</v>
      </c>
      <c r="E46" t="s">
        <v>9</v>
      </c>
      <c r="F46" t="s">
        <v>9</v>
      </c>
      <c r="G46" t="s">
        <v>9</v>
      </c>
      <c r="H46" t="s">
        <v>9</v>
      </c>
      <c r="I46" t="s">
        <v>9</v>
      </c>
      <c r="J46" t="s">
        <v>9</v>
      </c>
      <c r="K46" t="s">
        <v>9</v>
      </c>
      <c r="L46" t="s">
        <v>9</v>
      </c>
      <c r="M46" t="s">
        <v>9</v>
      </c>
      <c r="N46" t="s">
        <v>9</v>
      </c>
      <c r="O46" t="s">
        <v>9</v>
      </c>
      <c r="P46" t="s">
        <v>9</v>
      </c>
      <c r="Q46" t="s">
        <v>9</v>
      </c>
      <c r="R46" t="s">
        <v>9</v>
      </c>
      <c r="S46" t="s">
        <v>9</v>
      </c>
      <c r="T46" t="s">
        <v>9</v>
      </c>
      <c r="U46" t="s">
        <v>9</v>
      </c>
      <c r="V46" t="s">
        <v>9</v>
      </c>
      <c r="W46" t="s">
        <v>9</v>
      </c>
      <c r="X46" t="s">
        <v>9</v>
      </c>
      <c r="Y46" t="s">
        <v>9</v>
      </c>
      <c r="Z46" t="s">
        <v>9</v>
      </c>
      <c r="AA46" t="s">
        <v>9</v>
      </c>
      <c r="AB46" t="s">
        <v>9</v>
      </c>
      <c r="AC46" t="s">
        <v>9</v>
      </c>
      <c r="AD46" t="s">
        <v>9</v>
      </c>
      <c r="AE46" t="s">
        <v>9</v>
      </c>
      <c r="AF46" t="s">
        <v>9</v>
      </c>
      <c r="AG46" t="s">
        <v>9</v>
      </c>
      <c r="AH46" t="s">
        <v>9</v>
      </c>
      <c r="AI46" t="s">
        <v>9</v>
      </c>
      <c r="AJ46" t="s">
        <v>9</v>
      </c>
      <c r="AK46" t="s">
        <v>9</v>
      </c>
      <c r="AL46" t="s">
        <v>9</v>
      </c>
      <c r="AM46" t="s">
        <v>9</v>
      </c>
      <c r="AN46" t="s">
        <v>9</v>
      </c>
      <c r="AO46" t="s">
        <v>9</v>
      </c>
      <c r="AP46" t="s">
        <v>9</v>
      </c>
      <c r="AQ46" t="s">
        <v>9</v>
      </c>
      <c r="AR46" t="s">
        <v>9</v>
      </c>
      <c r="AS46" t="s">
        <v>9</v>
      </c>
      <c r="AT46" t="s">
        <v>9</v>
      </c>
      <c r="AU46" t="s">
        <v>9</v>
      </c>
      <c r="AV46" t="s">
        <v>9</v>
      </c>
      <c r="AW46" t="s">
        <v>9</v>
      </c>
      <c r="AX46" t="s">
        <v>9</v>
      </c>
      <c r="AY46" t="s">
        <v>9</v>
      </c>
      <c r="AZ46" t="s">
        <v>9</v>
      </c>
      <c r="BA46" t="s">
        <v>9</v>
      </c>
      <c r="BB46" t="s">
        <v>9</v>
      </c>
      <c r="BC46" t="s">
        <v>9</v>
      </c>
      <c r="BD46" t="s">
        <v>9</v>
      </c>
      <c r="BE46" t="s">
        <v>9</v>
      </c>
      <c r="BF46" t="s">
        <v>9</v>
      </c>
      <c r="BG46" t="s">
        <v>9</v>
      </c>
      <c r="BH46" t="s">
        <v>9</v>
      </c>
      <c r="BI46" t="s">
        <v>9</v>
      </c>
      <c r="BJ46" t="s">
        <v>9</v>
      </c>
    </row>
    <row r="47" spans="1:62">
      <c r="A47" t="s">
        <v>326</v>
      </c>
      <c r="B47" s="133" t="s">
        <v>591</v>
      </c>
      <c r="C47" s="133" t="str">
        <f>IF(COUNTIF(Measure_62443_2_1[[#This Row],[G 0.13 Interception of Compromising Interference Signals]:[IND.3.2.3 Insufficient regulations for the use of OT remote maintenance access]],"X")&gt;0,"X","")</f>
        <v/>
      </c>
      <c r="D47" t="s">
        <v>9</v>
      </c>
      <c r="E47" t="s">
        <v>9</v>
      </c>
      <c r="F47" t="s">
        <v>9</v>
      </c>
      <c r="G47" t="s">
        <v>9</v>
      </c>
      <c r="H47" t="s">
        <v>9</v>
      </c>
      <c r="I47" t="s">
        <v>9</v>
      </c>
      <c r="J47" t="s">
        <v>9</v>
      </c>
      <c r="K47" t="s">
        <v>9</v>
      </c>
      <c r="L47" t="s">
        <v>9</v>
      </c>
      <c r="M47" t="s">
        <v>9</v>
      </c>
      <c r="N47" t="s">
        <v>9</v>
      </c>
      <c r="O47" t="s">
        <v>9</v>
      </c>
      <c r="P47" t="s">
        <v>9</v>
      </c>
      <c r="Q47" t="s">
        <v>9</v>
      </c>
      <c r="R47" t="s">
        <v>9</v>
      </c>
      <c r="S47" t="s">
        <v>9</v>
      </c>
      <c r="T47" t="s">
        <v>9</v>
      </c>
      <c r="U47" t="s">
        <v>9</v>
      </c>
      <c r="V47" t="s">
        <v>9</v>
      </c>
      <c r="W47" t="s">
        <v>9</v>
      </c>
      <c r="X47" t="s">
        <v>9</v>
      </c>
      <c r="Y47" t="s">
        <v>9</v>
      </c>
      <c r="Z47" t="s">
        <v>9</v>
      </c>
      <c r="AA47" t="s">
        <v>9</v>
      </c>
      <c r="AB47" t="s">
        <v>9</v>
      </c>
      <c r="AC47" t="s">
        <v>9</v>
      </c>
      <c r="AD47" t="s">
        <v>9</v>
      </c>
      <c r="AE47" t="s">
        <v>9</v>
      </c>
      <c r="AF47" t="s">
        <v>9</v>
      </c>
      <c r="AG47" t="s">
        <v>9</v>
      </c>
      <c r="AH47" t="s">
        <v>9</v>
      </c>
      <c r="AI47" t="s">
        <v>9</v>
      </c>
      <c r="AJ47" t="s">
        <v>9</v>
      </c>
      <c r="AK47" t="s">
        <v>9</v>
      </c>
      <c r="AL47" t="s">
        <v>9</v>
      </c>
      <c r="AM47" t="s">
        <v>9</v>
      </c>
      <c r="AN47" t="s">
        <v>9</v>
      </c>
      <c r="AO47" t="s">
        <v>9</v>
      </c>
      <c r="AP47" t="s">
        <v>9</v>
      </c>
      <c r="AQ47" t="s">
        <v>9</v>
      </c>
      <c r="AR47" t="s">
        <v>9</v>
      </c>
      <c r="AS47" t="s">
        <v>9</v>
      </c>
      <c r="AT47" t="s">
        <v>9</v>
      </c>
      <c r="AU47" t="s">
        <v>9</v>
      </c>
      <c r="AV47" t="s">
        <v>9</v>
      </c>
      <c r="AW47" t="s">
        <v>9</v>
      </c>
      <c r="AX47" t="s">
        <v>9</v>
      </c>
      <c r="AY47" t="s">
        <v>9</v>
      </c>
      <c r="AZ47" t="s">
        <v>9</v>
      </c>
      <c r="BA47" t="s">
        <v>9</v>
      </c>
      <c r="BB47" t="s">
        <v>9</v>
      </c>
      <c r="BC47" t="s">
        <v>9</v>
      </c>
      <c r="BD47" t="s">
        <v>9</v>
      </c>
      <c r="BE47" t="s">
        <v>9</v>
      </c>
      <c r="BF47" t="s">
        <v>9</v>
      </c>
      <c r="BG47" t="s">
        <v>9</v>
      </c>
      <c r="BH47" t="s">
        <v>9</v>
      </c>
      <c r="BI47" t="s">
        <v>9</v>
      </c>
      <c r="BJ47" t="s">
        <v>9</v>
      </c>
    </row>
    <row r="48" spans="1:62">
      <c r="A48" t="s">
        <v>327</v>
      </c>
      <c r="B48" s="133" t="s">
        <v>591</v>
      </c>
      <c r="C48" s="133" t="str">
        <f>IF(COUNTIF(Measure_62443_2_1[[#This Row],[G 0.13 Interception of Compromising Interference Signals]:[IND.3.2.3 Insufficient regulations for the use of OT remote maintenance access]],"X")&gt;0,"X","")</f>
        <v/>
      </c>
      <c r="D48" t="s">
        <v>9</v>
      </c>
      <c r="E48" t="s">
        <v>9</v>
      </c>
      <c r="F48" t="s">
        <v>9</v>
      </c>
      <c r="G48" t="s">
        <v>9</v>
      </c>
      <c r="H48" t="s">
        <v>9</v>
      </c>
      <c r="I48" t="s">
        <v>9</v>
      </c>
      <c r="J48" t="s">
        <v>9</v>
      </c>
      <c r="K48" t="s">
        <v>9</v>
      </c>
      <c r="L48" t="s">
        <v>9</v>
      </c>
      <c r="M48" t="s">
        <v>9</v>
      </c>
      <c r="N48" t="s">
        <v>9</v>
      </c>
      <c r="O48" t="s">
        <v>9</v>
      </c>
      <c r="P48" t="s">
        <v>9</v>
      </c>
      <c r="Q48" t="s">
        <v>9</v>
      </c>
      <c r="R48" t="s">
        <v>9</v>
      </c>
      <c r="S48" t="s">
        <v>9</v>
      </c>
      <c r="T48" t="s">
        <v>9</v>
      </c>
      <c r="U48" t="s">
        <v>9</v>
      </c>
      <c r="V48" t="s">
        <v>9</v>
      </c>
      <c r="W48" t="s">
        <v>9</v>
      </c>
      <c r="X48" t="s">
        <v>9</v>
      </c>
      <c r="Y48" t="s">
        <v>9</v>
      </c>
      <c r="Z48" t="s">
        <v>9</v>
      </c>
      <c r="AA48" t="s">
        <v>9</v>
      </c>
      <c r="AB48" t="s">
        <v>9</v>
      </c>
      <c r="AC48" t="s">
        <v>9</v>
      </c>
      <c r="AD48" t="s">
        <v>9</v>
      </c>
      <c r="AE48" t="s">
        <v>9</v>
      </c>
      <c r="AF48" t="s">
        <v>9</v>
      </c>
      <c r="AG48" t="s">
        <v>9</v>
      </c>
      <c r="AH48" t="s">
        <v>9</v>
      </c>
      <c r="AI48" t="s">
        <v>9</v>
      </c>
      <c r="AJ48" t="s">
        <v>9</v>
      </c>
      <c r="AK48" t="s">
        <v>9</v>
      </c>
      <c r="AL48" t="s">
        <v>9</v>
      </c>
      <c r="AM48" t="s">
        <v>9</v>
      </c>
      <c r="AN48" t="s">
        <v>9</v>
      </c>
      <c r="AO48" t="s">
        <v>9</v>
      </c>
      <c r="AP48" t="s">
        <v>9</v>
      </c>
      <c r="AQ48" t="s">
        <v>9</v>
      </c>
      <c r="AR48" t="s">
        <v>9</v>
      </c>
      <c r="AS48" t="s">
        <v>9</v>
      </c>
      <c r="AT48" t="s">
        <v>9</v>
      </c>
      <c r="AU48" t="s">
        <v>9</v>
      </c>
      <c r="AV48" t="s">
        <v>9</v>
      </c>
      <c r="AW48" t="s">
        <v>9</v>
      </c>
      <c r="AX48" t="s">
        <v>9</v>
      </c>
      <c r="AY48" t="s">
        <v>9</v>
      </c>
      <c r="AZ48" t="s">
        <v>9</v>
      </c>
      <c r="BA48" t="s">
        <v>9</v>
      </c>
      <c r="BB48" t="s">
        <v>9</v>
      </c>
      <c r="BC48" t="s">
        <v>9</v>
      </c>
      <c r="BD48" t="s">
        <v>9</v>
      </c>
      <c r="BE48" t="s">
        <v>9</v>
      </c>
      <c r="BF48" t="s">
        <v>9</v>
      </c>
      <c r="BG48" t="s">
        <v>9</v>
      </c>
      <c r="BH48" t="s">
        <v>9</v>
      </c>
      <c r="BI48" t="s">
        <v>9</v>
      </c>
      <c r="BJ48" t="s">
        <v>9</v>
      </c>
    </row>
    <row r="49" spans="1:62">
      <c r="A49" t="s">
        <v>328</v>
      </c>
      <c r="B49" s="133" t="s">
        <v>591</v>
      </c>
      <c r="C49" s="133" t="str">
        <f>IF(COUNTIF(Measure_62443_2_1[[#This Row],[G 0.13 Interception of Compromising Interference Signals]:[IND.3.2.3 Insufficient regulations for the use of OT remote maintenance access]],"X")&gt;0,"X","")</f>
        <v/>
      </c>
      <c r="D49" t="s">
        <v>9</v>
      </c>
      <c r="E49" t="s">
        <v>9</v>
      </c>
      <c r="F49" t="s">
        <v>9</v>
      </c>
      <c r="G49" t="s">
        <v>9</v>
      </c>
      <c r="H49" t="s">
        <v>9</v>
      </c>
      <c r="I49" t="s">
        <v>9</v>
      </c>
      <c r="J49" t="s">
        <v>9</v>
      </c>
      <c r="K49" t="s">
        <v>9</v>
      </c>
      <c r="L49" t="s">
        <v>9</v>
      </c>
      <c r="M49" t="s">
        <v>9</v>
      </c>
      <c r="N49" t="s">
        <v>9</v>
      </c>
      <c r="O49" t="s">
        <v>9</v>
      </c>
      <c r="P49" t="s">
        <v>9</v>
      </c>
      <c r="Q49" t="s">
        <v>9</v>
      </c>
      <c r="R49" t="s">
        <v>9</v>
      </c>
      <c r="S49" t="s">
        <v>9</v>
      </c>
      <c r="T49" t="s">
        <v>9</v>
      </c>
      <c r="U49" t="s">
        <v>9</v>
      </c>
      <c r="V49" t="s">
        <v>9</v>
      </c>
      <c r="W49" t="s">
        <v>9</v>
      </c>
      <c r="X49" t="s">
        <v>9</v>
      </c>
      <c r="Y49" t="s">
        <v>9</v>
      </c>
      <c r="Z49" t="s">
        <v>9</v>
      </c>
      <c r="AA49" t="s">
        <v>9</v>
      </c>
      <c r="AB49" t="s">
        <v>9</v>
      </c>
      <c r="AC49" t="s">
        <v>9</v>
      </c>
      <c r="AD49" t="s">
        <v>9</v>
      </c>
      <c r="AE49" t="s">
        <v>9</v>
      </c>
      <c r="AF49" t="s">
        <v>9</v>
      </c>
      <c r="AG49" t="s">
        <v>9</v>
      </c>
      <c r="AH49" t="s">
        <v>9</v>
      </c>
      <c r="AI49" t="s">
        <v>9</v>
      </c>
      <c r="AJ49" t="s">
        <v>9</v>
      </c>
      <c r="AK49" t="s">
        <v>9</v>
      </c>
      <c r="AL49" t="s">
        <v>9</v>
      </c>
      <c r="AM49" t="s">
        <v>9</v>
      </c>
      <c r="AN49" t="s">
        <v>9</v>
      </c>
      <c r="AO49" t="s">
        <v>9</v>
      </c>
      <c r="AP49" t="s">
        <v>9</v>
      </c>
      <c r="AQ49" t="s">
        <v>9</v>
      </c>
      <c r="AR49" t="s">
        <v>9</v>
      </c>
      <c r="AS49" t="s">
        <v>9</v>
      </c>
      <c r="AT49" t="s">
        <v>9</v>
      </c>
      <c r="AU49" t="s">
        <v>9</v>
      </c>
      <c r="AV49" t="s">
        <v>9</v>
      </c>
      <c r="AW49" t="s">
        <v>9</v>
      </c>
      <c r="AX49" t="s">
        <v>9</v>
      </c>
      <c r="AY49" t="s">
        <v>9</v>
      </c>
      <c r="AZ49" t="s">
        <v>9</v>
      </c>
      <c r="BA49" t="s">
        <v>9</v>
      </c>
      <c r="BB49" t="s">
        <v>9</v>
      </c>
      <c r="BC49" t="s">
        <v>9</v>
      </c>
      <c r="BD49" t="s">
        <v>9</v>
      </c>
      <c r="BE49" t="s">
        <v>9</v>
      </c>
      <c r="BF49" t="s">
        <v>9</v>
      </c>
      <c r="BG49" t="s">
        <v>9</v>
      </c>
      <c r="BH49" t="s">
        <v>9</v>
      </c>
      <c r="BI49" t="s">
        <v>9</v>
      </c>
      <c r="BJ49" t="s">
        <v>9</v>
      </c>
    </row>
    <row r="50" spans="1:62">
      <c r="A50" t="s">
        <v>329</v>
      </c>
      <c r="B50" s="133" t="s">
        <v>591</v>
      </c>
      <c r="C50" s="133" t="str">
        <f>IF(COUNTIF(Measure_62443_2_1[[#This Row],[G 0.13 Interception of Compromising Interference Signals]:[IND.3.2.3 Insufficient regulations for the use of OT remote maintenance access]],"X")&gt;0,"X","")</f>
        <v/>
      </c>
      <c r="D50" t="s">
        <v>9</v>
      </c>
      <c r="E50" t="s">
        <v>9</v>
      </c>
      <c r="F50" t="s">
        <v>9</v>
      </c>
      <c r="G50" t="s">
        <v>9</v>
      </c>
      <c r="H50" t="s">
        <v>9</v>
      </c>
      <c r="I50" t="s">
        <v>9</v>
      </c>
      <c r="J50" t="s">
        <v>9</v>
      </c>
      <c r="K50" t="s">
        <v>9</v>
      </c>
      <c r="L50" t="s">
        <v>9</v>
      </c>
      <c r="M50" t="s">
        <v>9</v>
      </c>
      <c r="N50" t="s">
        <v>9</v>
      </c>
      <c r="O50" t="s">
        <v>9</v>
      </c>
      <c r="P50" t="s">
        <v>9</v>
      </c>
      <c r="Q50" t="s">
        <v>9</v>
      </c>
      <c r="R50" t="s">
        <v>9</v>
      </c>
      <c r="S50" t="s">
        <v>9</v>
      </c>
      <c r="T50" t="s">
        <v>9</v>
      </c>
      <c r="U50" t="s">
        <v>9</v>
      </c>
      <c r="V50" t="s">
        <v>9</v>
      </c>
      <c r="W50" t="s">
        <v>9</v>
      </c>
      <c r="X50" t="s">
        <v>9</v>
      </c>
      <c r="Y50" t="s">
        <v>9</v>
      </c>
      <c r="Z50" t="s">
        <v>9</v>
      </c>
      <c r="AA50" t="s">
        <v>9</v>
      </c>
      <c r="AB50" t="s">
        <v>9</v>
      </c>
      <c r="AC50" t="s">
        <v>9</v>
      </c>
      <c r="AD50" t="s">
        <v>9</v>
      </c>
      <c r="AE50" t="s">
        <v>9</v>
      </c>
      <c r="AF50" t="s">
        <v>9</v>
      </c>
      <c r="AG50" t="s">
        <v>9</v>
      </c>
      <c r="AH50" t="s">
        <v>9</v>
      </c>
      <c r="AI50" t="s">
        <v>9</v>
      </c>
      <c r="AJ50" t="s">
        <v>9</v>
      </c>
      <c r="AK50" t="s">
        <v>9</v>
      </c>
      <c r="AL50" t="s">
        <v>9</v>
      </c>
      <c r="AM50" t="s">
        <v>9</v>
      </c>
      <c r="AN50" t="s">
        <v>9</v>
      </c>
      <c r="AO50" t="s">
        <v>9</v>
      </c>
      <c r="AP50" t="s">
        <v>9</v>
      </c>
      <c r="AQ50" t="s">
        <v>9</v>
      </c>
      <c r="AR50" t="s">
        <v>9</v>
      </c>
      <c r="AS50" t="s">
        <v>9</v>
      </c>
      <c r="AT50" t="s">
        <v>9</v>
      </c>
      <c r="AU50" t="s">
        <v>9</v>
      </c>
      <c r="AV50" t="s">
        <v>9</v>
      </c>
      <c r="AW50" t="s">
        <v>9</v>
      </c>
      <c r="AX50" t="s">
        <v>9</v>
      </c>
      <c r="AY50" t="s">
        <v>9</v>
      </c>
      <c r="AZ50" t="s">
        <v>9</v>
      </c>
      <c r="BA50" t="s">
        <v>9</v>
      </c>
      <c r="BB50" t="s">
        <v>9</v>
      </c>
      <c r="BC50" t="s">
        <v>9</v>
      </c>
      <c r="BD50" t="s">
        <v>9</v>
      </c>
      <c r="BE50" t="s">
        <v>9</v>
      </c>
      <c r="BF50" t="s">
        <v>9</v>
      </c>
      <c r="BG50" t="s">
        <v>9</v>
      </c>
      <c r="BH50" t="s">
        <v>9</v>
      </c>
      <c r="BI50" t="s">
        <v>9</v>
      </c>
      <c r="BJ50" t="s">
        <v>9</v>
      </c>
    </row>
    <row r="51" spans="1:62">
      <c r="A51" t="s">
        <v>330</v>
      </c>
      <c r="B51" s="133" t="s">
        <v>591</v>
      </c>
      <c r="C51" s="133" t="str">
        <f>IF(COUNTIF(Measure_62443_2_1[[#This Row],[G 0.13 Interception of Compromising Interference Signals]:[IND.3.2.3 Insufficient regulations for the use of OT remote maintenance access]],"X")&gt;0,"X","")</f>
        <v/>
      </c>
      <c r="D51" t="s">
        <v>9</v>
      </c>
      <c r="E51" t="s">
        <v>9</v>
      </c>
      <c r="F51" t="s">
        <v>9</v>
      </c>
      <c r="G51" t="s">
        <v>9</v>
      </c>
      <c r="H51" t="s">
        <v>9</v>
      </c>
      <c r="I51" t="s">
        <v>9</v>
      </c>
      <c r="J51" t="s">
        <v>9</v>
      </c>
      <c r="K51" t="s">
        <v>9</v>
      </c>
      <c r="L51" t="s">
        <v>9</v>
      </c>
      <c r="M51" t="s">
        <v>9</v>
      </c>
      <c r="N51" t="s">
        <v>9</v>
      </c>
      <c r="O51" t="s">
        <v>9</v>
      </c>
      <c r="P51" t="s">
        <v>9</v>
      </c>
      <c r="Q51" t="s">
        <v>9</v>
      </c>
      <c r="R51" t="s">
        <v>9</v>
      </c>
      <c r="S51" t="s">
        <v>9</v>
      </c>
      <c r="T51" t="s">
        <v>9</v>
      </c>
      <c r="U51" t="s">
        <v>9</v>
      </c>
      <c r="V51" t="s">
        <v>9</v>
      </c>
      <c r="W51" t="s">
        <v>9</v>
      </c>
      <c r="X51" t="s">
        <v>9</v>
      </c>
      <c r="Y51" t="s">
        <v>9</v>
      </c>
      <c r="Z51" t="s">
        <v>9</v>
      </c>
      <c r="AA51" t="s">
        <v>9</v>
      </c>
      <c r="AB51" t="s">
        <v>9</v>
      </c>
      <c r="AC51" t="s">
        <v>9</v>
      </c>
      <c r="AD51" t="s">
        <v>9</v>
      </c>
      <c r="AE51" t="s">
        <v>9</v>
      </c>
      <c r="AF51" t="s">
        <v>9</v>
      </c>
      <c r="AG51" t="s">
        <v>9</v>
      </c>
      <c r="AH51" t="s">
        <v>9</v>
      </c>
      <c r="AI51" t="s">
        <v>9</v>
      </c>
      <c r="AJ51" t="s">
        <v>9</v>
      </c>
      <c r="AK51" t="s">
        <v>9</v>
      </c>
      <c r="AL51" t="s">
        <v>9</v>
      </c>
      <c r="AM51" t="s">
        <v>9</v>
      </c>
      <c r="AN51" t="s">
        <v>9</v>
      </c>
      <c r="AO51" t="s">
        <v>9</v>
      </c>
      <c r="AP51" t="s">
        <v>9</v>
      </c>
      <c r="AQ51" t="s">
        <v>9</v>
      </c>
      <c r="AR51" t="s">
        <v>9</v>
      </c>
      <c r="AS51" t="s">
        <v>9</v>
      </c>
      <c r="AT51" t="s">
        <v>9</v>
      </c>
      <c r="AU51" t="s">
        <v>9</v>
      </c>
      <c r="AV51" t="s">
        <v>9</v>
      </c>
      <c r="AW51" t="s">
        <v>9</v>
      </c>
      <c r="AX51" t="s">
        <v>9</v>
      </c>
      <c r="AY51" t="s">
        <v>9</v>
      </c>
      <c r="AZ51" t="s">
        <v>9</v>
      </c>
      <c r="BA51" t="s">
        <v>9</v>
      </c>
      <c r="BB51" t="s">
        <v>9</v>
      </c>
      <c r="BC51" t="s">
        <v>9</v>
      </c>
      <c r="BD51" t="s">
        <v>9</v>
      </c>
      <c r="BE51" t="s">
        <v>9</v>
      </c>
      <c r="BF51" t="s">
        <v>9</v>
      </c>
      <c r="BG51" t="s">
        <v>9</v>
      </c>
      <c r="BH51" t="s">
        <v>9</v>
      </c>
      <c r="BI51" t="s">
        <v>9</v>
      </c>
      <c r="BJ51" t="s">
        <v>9</v>
      </c>
    </row>
    <row r="52" spans="1:62">
      <c r="A52" t="s">
        <v>331</v>
      </c>
      <c r="B52" s="133" t="s">
        <v>591</v>
      </c>
      <c r="C52" s="133" t="str">
        <f>IF(COUNTIF(Measure_62443_2_1[[#This Row],[G 0.13 Interception of Compromising Interference Signals]:[IND.3.2.3 Insufficient regulations for the use of OT remote maintenance access]],"X")&gt;0,"X","")</f>
        <v/>
      </c>
      <c r="D52" t="s">
        <v>9</v>
      </c>
      <c r="E52" t="s">
        <v>9</v>
      </c>
      <c r="F52" t="s">
        <v>9</v>
      </c>
      <c r="G52" t="s">
        <v>9</v>
      </c>
      <c r="H52" t="s">
        <v>9</v>
      </c>
      <c r="I52" t="s">
        <v>9</v>
      </c>
      <c r="J52" t="s">
        <v>9</v>
      </c>
      <c r="K52" t="s">
        <v>9</v>
      </c>
      <c r="L52" t="s">
        <v>9</v>
      </c>
      <c r="M52" t="s">
        <v>9</v>
      </c>
      <c r="N52" t="s">
        <v>9</v>
      </c>
      <c r="O52" t="s">
        <v>9</v>
      </c>
      <c r="P52" t="s">
        <v>9</v>
      </c>
      <c r="Q52" t="s">
        <v>9</v>
      </c>
      <c r="R52" t="s">
        <v>9</v>
      </c>
      <c r="S52" t="s">
        <v>9</v>
      </c>
      <c r="T52" t="s">
        <v>9</v>
      </c>
      <c r="U52" t="s">
        <v>9</v>
      </c>
      <c r="V52" t="s">
        <v>9</v>
      </c>
      <c r="W52" t="s">
        <v>9</v>
      </c>
      <c r="X52" t="s">
        <v>9</v>
      </c>
      <c r="Y52" t="s">
        <v>9</v>
      </c>
      <c r="Z52" t="s">
        <v>9</v>
      </c>
      <c r="AA52" t="s">
        <v>9</v>
      </c>
      <c r="AB52" t="s">
        <v>9</v>
      </c>
      <c r="AC52" t="s">
        <v>9</v>
      </c>
      <c r="AD52" t="s">
        <v>9</v>
      </c>
      <c r="AE52" t="s">
        <v>9</v>
      </c>
      <c r="AF52" t="s">
        <v>9</v>
      </c>
      <c r="AG52" t="s">
        <v>9</v>
      </c>
      <c r="AH52" t="s">
        <v>9</v>
      </c>
      <c r="AI52" t="s">
        <v>9</v>
      </c>
      <c r="AJ52" t="s">
        <v>9</v>
      </c>
      <c r="AK52" t="s">
        <v>9</v>
      </c>
      <c r="AL52" t="s">
        <v>9</v>
      </c>
      <c r="AM52" t="s">
        <v>9</v>
      </c>
      <c r="AN52" t="s">
        <v>9</v>
      </c>
      <c r="AO52" t="s">
        <v>9</v>
      </c>
      <c r="AP52" t="s">
        <v>9</v>
      </c>
      <c r="AQ52" t="s">
        <v>9</v>
      </c>
      <c r="AR52" t="s">
        <v>9</v>
      </c>
      <c r="AS52" t="s">
        <v>9</v>
      </c>
      <c r="AT52" t="s">
        <v>9</v>
      </c>
      <c r="AU52" t="s">
        <v>9</v>
      </c>
      <c r="AV52" t="s">
        <v>9</v>
      </c>
      <c r="AW52" t="s">
        <v>9</v>
      </c>
      <c r="AX52" t="s">
        <v>9</v>
      </c>
      <c r="AY52" t="s">
        <v>9</v>
      </c>
      <c r="AZ52" t="s">
        <v>9</v>
      </c>
      <c r="BA52" t="s">
        <v>9</v>
      </c>
      <c r="BB52" t="s">
        <v>9</v>
      </c>
      <c r="BC52" t="s">
        <v>9</v>
      </c>
      <c r="BD52" t="s">
        <v>9</v>
      </c>
      <c r="BE52" t="s">
        <v>9</v>
      </c>
      <c r="BF52" t="s">
        <v>9</v>
      </c>
      <c r="BG52" t="s">
        <v>9</v>
      </c>
      <c r="BH52" t="s">
        <v>9</v>
      </c>
      <c r="BI52" t="s">
        <v>9</v>
      </c>
      <c r="BJ52" t="s">
        <v>9</v>
      </c>
    </row>
    <row r="53" spans="1:62">
      <c r="A53" t="s">
        <v>332</v>
      </c>
      <c r="B53" s="133" t="s">
        <v>591</v>
      </c>
      <c r="C53" s="133" t="str">
        <f>IF(COUNTIF(Measure_62443_2_1[[#This Row],[G 0.13 Interception of Compromising Interference Signals]:[IND.3.2.3 Insufficient regulations for the use of OT remote maintenance access]],"X")&gt;0,"X","")</f>
        <v/>
      </c>
      <c r="D53" t="s">
        <v>9</v>
      </c>
      <c r="E53" t="s">
        <v>9</v>
      </c>
      <c r="F53" t="s">
        <v>9</v>
      </c>
      <c r="G53" t="s">
        <v>9</v>
      </c>
      <c r="H53" t="s">
        <v>9</v>
      </c>
      <c r="I53" t="s">
        <v>9</v>
      </c>
      <c r="J53" t="s">
        <v>9</v>
      </c>
      <c r="K53" t="s">
        <v>9</v>
      </c>
      <c r="L53" t="s">
        <v>9</v>
      </c>
      <c r="M53" t="s">
        <v>9</v>
      </c>
      <c r="N53" t="s">
        <v>9</v>
      </c>
      <c r="O53" t="s">
        <v>9</v>
      </c>
      <c r="P53" t="s">
        <v>9</v>
      </c>
      <c r="Q53" t="s">
        <v>9</v>
      </c>
      <c r="R53" t="s">
        <v>9</v>
      </c>
      <c r="S53" t="s">
        <v>9</v>
      </c>
      <c r="T53" t="s">
        <v>9</v>
      </c>
      <c r="U53" t="s">
        <v>9</v>
      </c>
      <c r="V53" t="s">
        <v>9</v>
      </c>
      <c r="W53" t="s">
        <v>9</v>
      </c>
      <c r="X53" t="s">
        <v>9</v>
      </c>
      <c r="Y53" t="s">
        <v>9</v>
      </c>
      <c r="Z53" t="s">
        <v>9</v>
      </c>
      <c r="AA53" t="s">
        <v>9</v>
      </c>
      <c r="AB53" t="s">
        <v>9</v>
      </c>
      <c r="AC53" t="s">
        <v>9</v>
      </c>
      <c r="AD53" t="s">
        <v>9</v>
      </c>
      <c r="AE53" t="s">
        <v>9</v>
      </c>
      <c r="AF53" t="s">
        <v>9</v>
      </c>
      <c r="AG53" t="s">
        <v>9</v>
      </c>
      <c r="AH53" t="s">
        <v>9</v>
      </c>
      <c r="AI53" t="s">
        <v>9</v>
      </c>
      <c r="AJ53" t="s">
        <v>9</v>
      </c>
      <c r="AK53" t="s">
        <v>9</v>
      </c>
      <c r="AL53" t="s">
        <v>9</v>
      </c>
      <c r="AM53" t="s">
        <v>9</v>
      </c>
      <c r="AN53" t="s">
        <v>9</v>
      </c>
      <c r="AO53" t="s">
        <v>9</v>
      </c>
      <c r="AP53" t="s">
        <v>9</v>
      </c>
      <c r="AQ53" t="s">
        <v>9</v>
      </c>
      <c r="AR53" t="s">
        <v>9</v>
      </c>
      <c r="AS53" t="s">
        <v>9</v>
      </c>
      <c r="AT53" t="s">
        <v>9</v>
      </c>
      <c r="AU53" t="s">
        <v>9</v>
      </c>
      <c r="AV53" t="s">
        <v>9</v>
      </c>
      <c r="AW53" t="s">
        <v>9</v>
      </c>
      <c r="AX53" t="s">
        <v>9</v>
      </c>
      <c r="AY53" t="s">
        <v>9</v>
      </c>
      <c r="AZ53" t="s">
        <v>9</v>
      </c>
      <c r="BA53" t="s">
        <v>9</v>
      </c>
      <c r="BB53" t="s">
        <v>9</v>
      </c>
      <c r="BC53" t="s">
        <v>9</v>
      </c>
      <c r="BD53" t="s">
        <v>9</v>
      </c>
      <c r="BE53" t="s">
        <v>9</v>
      </c>
      <c r="BF53" t="s">
        <v>9</v>
      </c>
      <c r="BG53" t="s">
        <v>9</v>
      </c>
      <c r="BH53" t="s">
        <v>9</v>
      </c>
      <c r="BI53" t="s">
        <v>9</v>
      </c>
      <c r="BJ53" t="s">
        <v>9</v>
      </c>
    </row>
    <row r="54" spans="1:62">
      <c r="A54" t="s">
        <v>333</v>
      </c>
      <c r="B54" s="133" t="s">
        <v>591</v>
      </c>
      <c r="C54" s="133" t="str">
        <f>IF(COUNTIF(Measure_62443_2_1[[#This Row],[G 0.13 Interception of Compromising Interference Signals]:[IND.3.2.3 Insufficient regulations for the use of OT remote maintenance access]],"X")&gt;0,"X","")</f>
        <v/>
      </c>
      <c r="D54" t="s">
        <v>9</v>
      </c>
      <c r="E54" t="s">
        <v>9</v>
      </c>
      <c r="F54" t="s">
        <v>9</v>
      </c>
      <c r="G54" t="s">
        <v>9</v>
      </c>
      <c r="H54" t="s">
        <v>9</v>
      </c>
      <c r="I54" t="s">
        <v>9</v>
      </c>
      <c r="J54" t="s">
        <v>9</v>
      </c>
      <c r="K54" t="s">
        <v>9</v>
      </c>
      <c r="L54" t="s">
        <v>9</v>
      </c>
      <c r="M54" t="s">
        <v>9</v>
      </c>
      <c r="N54" t="s">
        <v>9</v>
      </c>
      <c r="O54" t="s">
        <v>9</v>
      </c>
      <c r="P54" t="s">
        <v>9</v>
      </c>
      <c r="Q54" t="s">
        <v>9</v>
      </c>
      <c r="R54" t="s">
        <v>9</v>
      </c>
      <c r="S54" t="s">
        <v>9</v>
      </c>
      <c r="T54" t="s">
        <v>9</v>
      </c>
      <c r="U54" t="s">
        <v>9</v>
      </c>
      <c r="V54" t="s">
        <v>9</v>
      </c>
      <c r="W54" t="s">
        <v>9</v>
      </c>
      <c r="X54" t="s">
        <v>9</v>
      </c>
      <c r="Y54" t="s">
        <v>9</v>
      </c>
      <c r="Z54" t="s">
        <v>9</v>
      </c>
      <c r="AA54" t="s">
        <v>9</v>
      </c>
      <c r="AB54" t="s">
        <v>9</v>
      </c>
      <c r="AC54" t="s">
        <v>9</v>
      </c>
      <c r="AD54" t="s">
        <v>9</v>
      </c>
      <c r="AE54" t="s">
        <v>9</v>
      </c>
      <c r="AF54" t="s">
        <v>9</v>
      </c>
      <c r="AG54" t="s">
        <v>9</v>
      </c>
      <c r="AH54" t="s">
        <v>9</v>
      </c>
      <c r="AI54" t="s">
        <v>9</v>
      </c>
      <c r="AJ54" t="s">
        <v>9</v>
      </c>
      <c r="AK54" t="s">
        <v>9</v>
      </c>
      <c r="AL54" t="s">
        <v>9</v>
      </c>
      <c r="AM54" t="s">
        <v>9</v>
      </c>
      <c r="AN54" t="s">
        <v>9</v>
      </c>
      <c r="AO54" t="s">
        <v>9</v>
      </c>
      <c r="AP54" t="s">
        <v>9</v>
      </c>
      <c r="AQ54" t="s">
        <v>9</v>
      </c>
      <c r="AR54" t="s">
        <v>9</v>
      </c>
      <c r="AS54" t="s">
        <v>9</v>
      </c>
      <c r="AT54" t="s">
        <v>9</v>
      </c>
      <c r="AU54" t="s">
        <v>9</v>
      </c>
      <c r="AV54" t="s">
        <v>9</v>
      </c>
      <c r="AW54" t="s">
        <v>9</v>
      </c>
      <c r="AX54" t="s">
        <v>9</v>
      </c>
      <c r="AY54" t="s">
        <v>9</v>
      </c>
      <c r="AZ54" t="s">
        <v>9</v>
      </c>
      <c r="BA54" t="s">
        <v>9</v>
      </c>
      <c r="BB54" t="s">
        <v>9</v>
      </c>
      <c r="BC54" t="s">
        <v>9</v>
      </c>
      <c r="BD54" t="s">
        <v>9</v>
      </c>
      <c r="BE54" t="s">
        <v>9</v>
      </c>
      <c r="BF54" t="s">
        <v>9</v>
      </c>
      <c r="BG54" t="s">
        <v>9</v>
      </c>
      <c r="BH54" t="s">
        <v>9</v>
      </c>
      <c r="BI54" t="s">
        <v>9</v>
      </c>
      <c r="BJ54" t="s">
        <v>9</v>
      </c>
    </row>
    <row r="55" spans="1:62">
      <c r="A55" t="s">
        <v>334</v>
      </c>
      <c r="B55" s="133" t="s">
        <v>591</v>
      </c>
      <c r="C55" s="133" t="str">
        <f>IF(COUNTIF(Measure_62443_2_1[[#This Row],[G 0.13 Interception of Compromising Interference Signals]:[IND.3.2.3 Insufficient regulations for the use of OT remote maintenance access]],"X")&gt;0,"X","")</f>
        <v/>
      </c>
      <c r="D55" t="s">
        <v>9</v>
      </c>
      <c r="E55" t="s">
        <v>9</v>
      </c>
      <c r="F55" t="s">
        <v>9</v>
      </c>
      <c r="G55" t="s">
        <v>9</v>
      </c>
      <c r="H55" t="s">
        <v>9</v>
      </c>
      <c r="I55" t="s">
        <v>9</v>
      </c>
      <c r="J55" t="s">
        <v>9</v>
      </c>
      <c r="K55" t="s">
        <v>9</v>
      </c>
      <c r="L55" t="s">
        <v>9</v>
      </c>
      <c r="M55" t="s">
        <v>9</v>
      </c>
      <c r="N55" t="s">
        <v>9</v>
      </c>
      <c r="O55" t="s">
        <v>9</v>
      </c>
      <c r="P55" t="s">
        <v>9</v>
      </c>
      <c r="Q55" t="s">
        <v>9</v>
      </c>
      <c r="R55" t="s">
        <v>9</v>
      </c>
      <c r="S55" t="s">
        <v>9</v>
      </c>
      <c r="T55" t="s">
        <v>9</v>
      </c>
      <c r="U55" t="s">
        <v>9</v>
      </c>
      <c r="V55" t="s">
        <v>9</v>
      </c>
      <c r="W55" t="s">
        <v>9</v>
      </c>
      <c r="X55" t="s">
        <v>9</v>
      </c>
      <c r="Y55" t="s">
        <v>9</v>
      </c>
      <c r="Z55" t="s">
        <v>9</v>
      </c>
      <c r="AA55" t="s">
        <v>9</v>
      </c>
      <c r="AB55" t="s">
        <v>9</v>
      </c>
      <c r="AC55" t="s">
        <v>9</v>
      </c>
      <c r="AD55" t="s">
        <v>9</v>
      </c>
      <c r="AE55" t="s">
        <v>9</v>
      </c>
      <c r="AF55" t="s">
        <v>9</v>
      </c>
      <c r="AG55" t="s">
        <v>9</v>
      </c>
      <c r="AH55" t="s">
        <v>9</v>
      </c>
      <c r="AI55" t="s">
        <v>9</v>
      </c>
      <c r="AJ55" t="s">
        <v>9</v>
      </c>
      <c r="AK55" t="s">
        <v>9</v>
      </c>
      <c r="AL55" t="s">
        <v>9</v>
      </c>
      <c r="AM55" t="s">
        <v>9</v>
      </c>
      <c r="AN55" t="s">
        <v>9</v>
      </c>
      <c r="AO55" t="s">
        <v>9</v>
      </c>
      <c r="AP55" t="s">
        <v>9</v>
      </c>
      <c r="AQ55" t="s">
        <v>9</v>
      </c>
      <c r="AR55" t="s">
        <v>9</v>
      </c>
      <c r="AS55" t="s">
        <v>9</v>
      </c>
      <c r="AT55" t="s">
        <v>9</v>
      </c>
      <c r="AU55" t="s">
        <v>9</v>
      </c>
      <c r="AV55" t="s">
        <v>9</v>
      </c>
      <c r="AW55" t="s">
        <v>9</v>
      </c>
      <c r="AX55" t="s">
        <v>9</v>
      </c>
      <c r="AY55" t="s">
        <v>9</v>
      </c>
      <c r="AZ55" t="s">
        <v>9</v>
      </c>
      <c r="BA55" t="s">
        <v>9</v>
      </c>
      <c r="BB55" t="s">
        <v>9</v>
      </c>
      <c r="BC55" t="s">
        <v>9</v>
      </c>
      <c r="BD55" t="s">
        <v>9</v>
      </c>
      <c r="BE55" t="s">
        <v>9</v>
      </c>
      <c r="BF55" t="s">
        <v>9</v>
      </c>
      <c r="BG55" t="s">
        <v>9</v>
      </c>
      <c r="BH55" t="s">
        <v>9</v>
      </c>
      <c r="BI55" t="s">
        <v>9</v>
      </c>
      <c r="BJ55" t="s">
        <v>9</v>
      </c>
    </row>
    <row r="56" spans="1:62">
      <c r="A56" t="s">
        <v>335</v>
      </c>
      <c r="B56" s="133" t="s">
        <v>591</v>
      </c>
      <c r="C56" s="133" t="str">
        <f>IF(COUNTIF(Measure_62443_2_1[[#This Row],[G 0.13 Interception of Compromising Interference Signals]:[IND.3.2.3 Insufficient regulations for the use of OT remote maintenance access]],"X")&gt;0,"X","")</f>
        <v/>
      </c>
      <c r="D56" t="s">
        <v>9</v>
      </c>
      <c r="E56" t="s">
        <v>9</v>
      </c>
      <c r="F56" t="s">
        <v>9</v>
      </c>
      <c r="G56" t="s">
        <v>9</v>
      </c>
      <c r="H56" t="s">
        <v>9</v>
      </c>
      <c r="I56" t="s">
        <v>9</v>
      </c>
      <c r="J56" t="s">
        <v>9</v>
      </c>
      <c r="K56" t="s">
        <v>9</v>
      </c>
      <c r="L56" t="s">
        <v>9</v>
      </c>
      <c r="M56" t="s">
        <v>9</v>
      </c>
      <c r="N56" t="s">
        <v>9</v>
      </c>
      <c r="O56" t="s">
        <v>9</v>
      </c>
      <c r="P56" t="s">
        <v>9</v>
      </c>
      <c r="Q56" t="s">
        <v>9</v>
      </c>
      <c r="R56" t="s">
        <v>9</v>
      </c>
      <c r="S56" t="s">
        <v>9</v>
      </c>
      <c r="T56" t="s">
        <v>9</v>
      </c>
      <c r="U56" t="s">
        <v>9</v>
      </c>
      <c r="V56" t="s">
        <v>9</v>
      </c>
      <c r="W56" t="s">
        <v>9</v>
      </c>
      <c r="X56" t="s">
        <v>9</v>
      </c>
      <c r="Y56" t="s">
        <v>9</v>
      </c>
      <c r="Z56" t="s">
        <v>9</v>
      </c>
      <c r="AA56" t="s">
        <v>9</v>
      </c>
      <c r="AB56" t="s">
        <v>9</v>
      </c>
      <c r="AC56" t="s">
        <v>9</v>
      </c>
      <c r="AD56" t="s">
        <v>9</v>
      </c>
      <c r="AE56" t="s">
        <v>9</v>
      </c>
      <c r="AF56" t="s">
        <v>9</v>
      </c>
      <c r="AG56" t="s">
        <v>9</v>
      </c>
      <c r="AH56" t="s">
        <v>9</v>
      </c>
      <c r="AI56" t="s">
        <v>9</v>
      </c>
      <c r="AJ56" t="s">
        <v>9</v>
      </c>
      <c r="AK56" t="s">
        <v>9</v>
      </c>
      <c r="AL56" t="s">
        <v>9</v>
      </c>
      <c r="AM56" t="s">
        <v>9</v>
      </c>
      <c r="AN56" t="s">
        <v>9</v>
      </c>
      <c r="AO56" t="s">
        <v>9</v>
      </c>
      <c r="AP56" t="s">
        <v>9</v>
      </c>
      <c r="AQ56" t="s">
        <v>9</v>
      </c>
      <c r="AR56" t="s">
        <v>9</v>
      </c>
      <c r="AS56" t="s">
        <v>9</v>
      </c>
      <c r="AT56" t="s">
        <v>9</v>
      </c>
      <c r="AU56" t="s">
        <v>9</v>
      </c>
      <c r="AV56" t="s">
        <v>9</v>
      </c>
      <c r="AW56" t="s">
        <v>9</v>
      </c>
      <c r="AX56" t="s">
        <v>9</v>
      </c>
      <c r="AY56" t="s">
        <v>9</v>
      </c>
      <c r="AZ56" t="s">
        <v>9</v>
      </c>
      <c r="BA56" t="s">
        <v>9</v>
      </c>
      <c r="BB56" t="s">
        <v>9</v>
      </c>
      <c r="BC56" t="s">
        <v>9</v>
      </c>
      <c r="BD56" t="s">
        <v>9</v>
      </c>
      <c r="BE56" t="s">
        <v>9</v>
      </c>
      <c r="BF56" t="s">
        <v>9</v>
      </c>
      <c r="BG56" t="s">
        <v>9</v>
      </c>
      <c r="BH56" t="s">
        <v>9</v>
      </c>
      <c r="BI56" t="s">
        <v>9</v>
      </c>
      <c r="BJ56" t="s">
        <v>9</v>
      </c>
    </row>
    <row r="57" spans="1:62">
      <c r="A57" t="s">
        <v>336</v>
      </c>
      <c r="B57" s="133" t="s">
        <v>591</v>
      </c>
      <c r="C57" s="133" t="str">
        <f>IF(COUNTIF(Measure_62443_2_1[[#This Row],[G 0.13 Interception of Compromising Interference Signals]:[IND.3.2.3 Insufficient regulations for the use of OT remote maintenance access]],"X")&gt;0,"X","")</f>
        <v/>
      </c>
      <c r="D57" t="s">
        <v>9</v>
      </c>
      <c r="E57" t="s">
        <v>9</v>
      </c>
      <c r="F57" t="s">
        <v>9</v>
      </c>
      <c r="G57" t="s">
        <v>9</v>
      </c>
      <c r="H57" t="s">
        <v>9</v>
      </c>
      <c r="I57" t="s">
        <v>9</v>
      </c>
      <c r="J57" t="s">
        <v>9</v>
      </c>
      <c r="K57" t="s">
        <v>9</v>
      </c>
      <c r="L57" t="s">
        <v>9</v>
      </c>
      <c r="M57" t="s">
        <v>9</v>
      </c>
      <c r="N57" t="s">
        <v>9</v>
      </c>
      <c r="O57" t="s">
        <v>9</v>
      </c>
      <c r="P57" t="s">
        <v>9</v>
      </c>
      <c r="Q57" t="s">
        <v>9</v>
      </c>
      <c r="R57" t="s">
        <v>9</v>
      </c>
      <c r="S57" t="s">
        <v>9</v>
      </c>
      <c r="T57" t="s">
        <v>9</v>
      </c>
      <c r="U57" t="s">
        <v>9</v>
      </c>
      <c r="V57" t="s">
        <v>9</v>
      </c>
      <c r="W57" t="s">
        <v>9</v>
      </c>
      <c r="X57" t="s">
        <v>9</v>
      </c>
      <c r="Y57" t="s">
        <v>9</v>
      </c>
      <c r="Z57" t="s">
        <v>9</v>
      </c>
      <c r="AA57" t="s">
        <v>9</v>
      </c>
      <c r="AB57" t="s">
        <v>9</v>
      </c>
      <c r="AC57" t="s">
        <v>9</v>
      </c>
      <c r="AD57" t="s">
        <v>9</v>
      </c>
      <c r="AE57" t="s">
        <v>9</v>
      </c>
      <c r="AF57" t="s">
        <v>9</v>
      </c>
      <c r="AG57" t="s">
        <v>9</v>
      </c>
      <c r="AH57" t="s">
        <v>9</v>
      </c>
      <c r="AI57" t="s">
        <v>9</v>
      </c>
      <c r="AJ57" t="s">
        <v>9</v>
      </c>
      <c r="AK57" t="s">
        <v>9</v>
      </c>
      <c r="AL57" t="s">
        <v>9</v>
      </c>
      <c r="AM57" t="s">
        <v>9</v>
      </c>
      <c r="AN57" t="s">
        <v>9</v>
      </c>
      <c r="AO57" t="s">
        <v>9</v>
      </c>
      <c r="AP57" t="s">
        <v>9</v>
      </c>
      <c r="AQ57" t="s">
        <v>9</v>
      </c>
      <c r="AR57" t="s">
        <v>9</v>
      </c>
      <c r="AS57" t="s">
        <v>9</v>
      </c>
      <c r="AT57" t="s">
        <v>9</v>
      </c>
      <c r="AU57" t="s">
        <v>9</v>
      </c>
      <c r="AV57" t="s">
        <v>9</v>
      </c>
      <c r="AW57" t="s">
        <v>9</v>
      </c>
      <c r="AX57" t="s">
        <v>9</v>
      </c>
      <c r="AY57" t="s">
        <v>9</v>
      </c>
      <c r="AZ57" t="s">
        <v>9</v>
      </c>
      <c r="BA57" t="s">
        <v>9</v>
      </c>
      <c r="BB57" t="s">
        <v>9</v>
      </c>
      <c r="BC57" t="s">
        <v>9</v>
      </c>
      <c r="BD57" t="s">
        <v>9</v>
      </c>
      <c r="BE57" t="s">
        <v>9</v>
      </c>
      <c r="BF57" t="s">
        <v>9</v>
      </c>
      <c r="BG57" t="s">
        <v>9</v>
      </c>
      <c r="BH57" t="s">
        <v>9</v>
      </c>
      <c r="BI57" t="s">
        <v>9</v>
      </c>
      <c r="BJ57" t="s">
        <v>9</v>
      </c>
    </row>
    <row r="58" spans="1:62">
      <c r="A58" t="s">
        <v>337</v>
      </c>
      <c r="B58" s="133" t="s">
        <v>591</v>
      </c>
      <c r="C58" s="133" t="str">
        <f>IF(COUNTIF(Measure_62443_2_1[[#This Row],[G 0.13 Interception of Compromising Interference Signals]:[IND.3.2.3 Insufficient regulations for the use of OT remote maintenance access]],"X")&gt;0,"X","")</f>
        <v/>
      </c>
      <c r="D58" t="s">
        <v>9</v>
      </c>
      <c r="E58" t="s">
        <v>9</v>
      </c>
      <c r="F58" t="s">
        <v>9</v>
      </c>
      <c r="G58" t="s">
        <v>9</v>
      </c>
      <c r="H58" t="s">
        <v>9</v>
      </c>
      <c r="I58" t="s">
        <v>9</v>
      </c>
      <c r="J58" t="s">
        <v>9</v>
      </c>
      <c r="K58" t="s">
        <v>9</v>
      </c>
      <c r="L58" t="s">
        <v>9</v>
      </c>
      <c r="M58" t="s">
        <v>9</v>
      </c>
      <c r="N58" t="s">
        <v>9</v>
      </c>
      <c r="O58" t="s">
        <v>9</v>
      </c>
      <c r="P58" t="s">
        <v>9</v>
      </c>
      <c r="Q58" t="s">
        <v>9</v>
      </c>
      <c r="R58" t="s">
        <v>9</v>
      </c>
      <c r="S58" t="s">
        <v>9</v>
      </c>
      <c r="T58" t="s">
        <v>9</v>
      </c>
      <c r="U58" t="s">
        <v>9</v>
      </c>
      <c r="V58" t="s">
        <v>9</v>
      </c>
      <c r="W58" t="s">
        <v>9</v>
      </c>
      <c r="X58" t="s">
        <v>9</v>
      </c>
      <c r="Y58" t="s">
        <v>9</v>
      </c>
      <c r="Z58" t="s">
        <v>9</v>
      </c>
      <c r="AA58" t="s">
        <v>9</v>
      </c>
      <c r="AB58" t="s">
        <v>9</v>
      </c>
      <c r="AC58" t="s">
        <v>9</v>
      </c>
      <c r="AD58" t="s">
        <v>9</v>
      </c>
      <c r="AE58" t="s">
        <v>9</v>
      </c>
      <c r="AF58" t="s">
        <v>9</v>
      </c>
      <c r="AG58" t="s">
        <v>9</v>
      </c>
      <c r="AH58" t="s">
        <v>9</v>
      </c>
      <c r="AI58" t="s">
        <v>9</v>
      </c>
      <c r="AJ58" t="s">
        <v>9</v>
      </c>
      <c r="AK58" t="s">
        <v>9</v>
      </c>
      <c r="AL58" t="s">
        <v>9</v>
      </c>
      <c r="AM58" t="s">
        <v>9</v>
      </c>
      <c r="AN58" t="s">
        <v>9</v>
      </c>
      <c r="AO58" t="s">
        <v>9</v>
      </c>
      <c r="AP58" t="s">
        <v>9</v>
      </c>
      <c r="AQ58" t="s">
        <v>9</v>
      </c>
      <c r="AR58" t="s">
        <v>9</v>
      </c>
      <c r="AS58" t="s">
        <v>9</v>
      </c>
      <c r="AT58" t="s">
        <v>9</v>
      </c>
      <c r="AU58" t="s">
        <v>9</v>
      </c>
      <c r="AV58" t="s">
        <v>9</v>
      </c>
      <c r="AW58" t="s">
        <v>9</v>
      </c>
      <c r="AX58" t="s">
        <v>9</v>
      </c>
      <c r="AY58" t="s">
        <v>9</v>
      </c>
      <c r="AZ58" t="s">
        <v>9</v>
      </c>
      <c r="BA58" t="s">
        <v>9</v>
      </c>
      <c r="BB58" t="s">
        <v>9</v>
      </c>
      <c r="BC58" t="s">
        <v>9</v>
      </c>
      <c r="BD58" t="s">
        <v>9</v>
      </c>
      <c r="BE58" t="s">
        <v>9</v>
      </c>
      <c r="BF58" t="s">
        <v>9</v>
      </c>
      <c r="BG58" t="s">
        <v>9</v>
      </c>
      <c r="BH58" t="s">
        <v>9</v>
      </c>
      <c r="BI58" t="s">
        <v>9</v>
      </c>
      <c r="BJ58" t="s">
        <v>9</v>
      </c>
    </row>
    <row r="59" spans="1:62">
      <c r="A59" t="s">
        <v>338</v>
      </c>
      <c r="B59" s="133" t="s">
        <v>591</v>
      </c>
      <c r="C59" s="133" t="str">
        <f>IF(COUNTIF(Measure_62443_2_1[[#This Row],[G 0.13 Interception of Compromising Interference Signals]:[IND.3.2.3 Insufficient regulations for the use of OT remote maintenance access]],"X")&gt;0,"X","")</f>
        <v/>
      </c>
      <c r="D59" t="s">
        <v>9</v>
      </c>
      <c r="E59" t="s">
        <v>9</v>
      </c>
      <c r="F59" t="s">
        <v>9</v>
      </c>
      <c r="G59" t="s">
        <v>9</v>
      </c>
      <c r="H59" t="s">
        <v>9</v>
      </c>
      <c r="I59" t="s">
        <v>9</v>
      </c>
      <c r="J59" t="s">
        <v>9</v>
      </c>
      <c r="K59" t="s">
        <v>9</v>
      </c>
      <c r="L59" t="s">
        <v>9</v>
      </c>
      <c r="M59" t="s">
        <v>9</v>
      </c>
      <c r="N59" t="s">
        <v>9</v>
      </c>
      <c r="O59" t="s">
        <v>9</v>
      </c>
      <c r="P59" t="s">
        <v>9</v>
      </c>
      <c r="Q59" t="s">
        <v>9</v>
      </c>
      <c r="R59" t="s">
        <v>9</v>
      </c>
      <c r="S59" t="s">
        <v>9</v>
      </c>
      <c r="T59" t="s">
        <v>9</v>
      </c>
      <c r="U59" t="s">
        <v>9</v>
      </c>
      <c r="V59" t="s">
        <v>9</v>
      </c>
      <c r="W59" t="s">
        <v>9</v>
      </c>
      <c r="X59" t="s">
        <v>9</v>
      </c>
      <c r="Y59" t="s">
        <v>9</v>
      </c>
      <c r="Z59" t="s">
        <v>9</v>
      </c>
      <c r="AA59" t="s">
        <v>9</v>
      </c>
      <c r="AB59" t="s">
        <v>9</v>
      </c>
      <c r="AC59" t="s">
        <v>9</v>
      </c>
      <c r="AD59" t="s">
        <v>9</v>
      </c>
      <c r="AE59" t="s">
        <v>9</v>
      </c>
      <c r="AF59" t="s">
        <v>9</v>
      </c>
      <c r="AG59" t="s">
        <v>9</v>
      </c>
      <c r="AH59" t="s">
        <v>9</v>
      </c>
      <c r="AI59" t="s">
        <v>9</v>
      </c>
      <c r="AJ59" t="s">
        <v>9</v>
      </c>
      <c r="AK59" t="s">
        <v>9</v>
      </c>
      <c r="AL59" t="s">
        <v>9</v>
      </c>
      <c r="AM59" t="s">
        <v>9</v>
      </c>
      <c r="AN59" t="s">
        <v>9</v>
      </c>
      <c r="AO59" t="s">
        <v>9</v>
      </c>
      <c r="AP59" t="s">
        <v>9</v>
      </c>
      <c r="AQ59" t="s">
        <v>9</v>
      </c>
      <c r="AR59" t="s">
        <v>9</v>
      </c>
      <c r="AS59" t="s">
        <v>9</v>
      </c>
      <c r="AT59" t="s">
        <v>9</v>
      </c>
      <c r="AU59" t="s">
        <v>9</v>
      </c>
      <c r="AV59" t="s">
        <v>9</v>
      </c>
      <c r="AW59" t="s">
        <v>9</v>
      </c>
      <c r="AX59" t="s">
        <v>9</v>
      </c>
      <c r="AY59" t="s">
        <v>9</v>
      </c>
      <c r="AZ59" t="s">
        <v>9</v>
      </c>
      <c r="BA59" t="s">
        <v>9</v>
      </c>
      <c r="BB59" t="s">
        <v>9</v>
      </c>
      <c r="BC59" t="s">
        <v>9</v>
      </c>
      <c r="BD59" t="s">
        <v>9</v>
      </c>
      <c r="BE59" t="s">
        <v>9</v>
      </c>
      <c r="BF59" t="s">
        <v>9</v>
      </c>
      <c r="BG59" t="s">
        <v>9</v>
      </c>
      <c r="BH59" t="s">
        <v>9</v>
      </c>
      <c r="BI59" t="s">
        <v>9</v>
      </c>
      <c r="BJ59" t="s">
        <v>9</v>
      </c>
    </row>
    <row r="60" spans="1:62">
      <c r="A60" t="s">
        <v>339</v>
      </c>
      <c r="B60" s="133" t="s">
        <v>591</v>
      </c>
      <c r="C60" s="133" t="str">
        <f>IF(COUNTIF(Measure_62443_2_1[[#This Row],[G 0.13 Interception of Compromising Interference Signals]:[IND.3.2.3 Insufficient regulations for the use of OT remote maintenance access]],"X")&gt;0,"X","")</f>
        <v/>
      </c>
      <c r="D60" t="s">
        <v>9</v>
      </c>
      <c r="E60" t="s">
        <v>9</v>
      </c>
      <c r="F60" t="s">
        <v>9</v>
      </c>
      <c r="G60" t="s">
        <v>9</v>
      </c>
      <c r="H60" t="s">
        <v>9</v>
      </c>
      <c r="I60" t="s">
        <v>9</v>
      </c>
      <c r="J60" t="s">
        <v>9</v>
      </c>
      <c r="K60" t="s">
        <v>9</v>
      </c>
      <c r="L60" t="s">
        <v>9</v>
      </c>
      <c r="M60" t="s">
        <v>9</v>
      </c>
      <c r="N60" t="s">
        <v>9</v>
      </c>
      <c r="O60" t="s">
        <v>9</v>
      </c>
      <c r="P60" t="s">
        <v>9</v>
      </c>
      <c r="Q60" t="s">
        <v>9</v>
      </c>
      <c r="R60" t="s">
        <v>9</v>
      </c>
      <c r="S60" t="s">
        <v>9</v>
      </c>
      <c r="T60" t="s">
        <v>9</v>
      </c>
      <c r="U60" t="s">
        <v>9</v>
      </c>
      <c r="V60" t="s">
        <v>9</v>
      </c>
      <c r="W60" t="s">
        <v>9</v>
      </c>
      <c r="X60" t="s">
        <v>9</v>
      </c>
      <c r="Y60" t="s">
        <v>9</v>
      </c>
      <c r="Z60" t="s">
        <v>9</v>
      </c>
      <c r="AA60" t="s">
        <v>9</v>
      </c>
      <c r="AB60" t="s">
        <v>9</v>
      </c>
      <c r="AC60" t="s">
        <v>9</v>
      </c>
      <c r="AD60" t="s">
        <v>9</v>
      </c>
      <c r="AE60" t="s">
        <v>9</v>
      </c>
      <c r="AF60" t="s">
        <v>9</v>
      </c>
      <c r="AG60" t="s">
        <v>9</v>
      </c>
      <c r="AH60" t="s">
        <v>9</v>
      </c>
      <c r="AI60" t="s">
        <v>9</v>
      </c>
      <c r="AJ60" t="s">
        <v>9</v>
      </c>
      <c r="AK60" t="s">
        <v>9</v>
      </c>
      <c r="AL60" t="s">
        <v>9</v>
      </c>
      <c r="AM60" t="s">
        <v>9</v>
      </c>
      <c r="AN60" t="s">
        <v>9</v>
      </c>
      <c r="AO60" t="s">
        <v>9</v>
      </c>
      <c r="AP60" t="s">
        <v>9</v>
      </c>
      <c r="AQ60" t="s">
        <v>9</v>
      </c>
      <c r="AR60" t="s">
        <v>9</v>
      </c>
      <c r="AS60" t="s">
        <v>9</v>
      </c>
      <c r="AT60" t="s">
        <v>9</v>
      </c>
      <c r="AU60" t="s">
        <v>9</v>
      </c>
      <c r="AV60" t="s">
        <v>9</v>
      </c>
      <c r="AW60" t="s">
        <v>9</v>
      </c>
      <c r="AX60" t="s">
        <v>9</v>
      </c>
      <c r="AY60" t="s">
        <v>9</v>
      </c>
      <c r="AZ60" t="s">
        <v>9</v>
      </c>
      <c r="BA60" t="s">
        <v>9</v>
      </c>
      <c r="BB60" t="s">
        <v>9</v>
      </c>
      <c r="BC60" t="s">
        <v>9</v>
      </c>
      <c r="BD60" t="s">
        <v>9</v>
      </c>
      <c r="BE60" t="s">
        <v>9</v>
      </c>
      <c r="BF60" t="s">
        <v>9</v>
      </c>
      <c r="BG60" t="s">
        <v>9</v>
      </c>
      <c r="BH60" t="s">
        <v>9</v>
      </c>
      <c r="BI60" t="s">
        <v>9</v>
      </c>
      <c r="BJ60" t="s">
        <v>9</v>
      </c>
    </row>
    <row r="61" spans="1:62">
      <c r="A61" t="s">
        <v>340</v>
      </c>
      <c r="B61" s="133" t="s">
        <v>591</v>
      </c>
      <c r="C61" s="133" t="str">
        <f>IF(COUNTIF(Measure_62443_2_1[[#This Row],[G 0.13 Interception of Compromising Interference Signals]:[IND.3.2.3 Insufficient regulations for the use of OT remote maintenance access]],"X")&gt;0,"X","")</f>
        <v/>
      </c>
      <c r="D61" t="s">
        <v>9</v>
      </c>
      <c r="E61" t="s">
        <v>9</v>
      </c>
      <c r="F61" t="s">
        <v>9</v>
      </c>
      <c r="G61" t="s">
        <v>9</v>
      </c>
      <c r="H61" t="s">
        <v>9</v>
      </c>
      <c r="I61" t="s">
        <v>9</v>
      </c>
      <c r="J61" t="s">
        <v>9</v>
      </c>
      <c r="K61" t="s">
        <v>9</v>
      </c>
      <c r="L61" t="s">
        <v>9</v>
      </c>
      <c r="M61" t="s">
        <v>9</v>
      </c>
      <c r="N61" t="s">
        <v>9</v>
      </c>
      <c r="O61" t="s">
        <v>9</v>
      </c>
      <c r="P61" t="s">
        <v>9</v>
      </c>
      <c r="Q61" t="s">
        <v>9</v>
      </c>
      <c r="R61" t="s">
        <v>9</v>
      </c>
      <c r="S61" t="s">
        <v>9</v>
      </c>
      <c r="T61" t="s">
        <v>9</v>
      </c>
      <c r="U61" t="s">
        <v>9</v>
      </c>
      <c r="V61" t="s">
        <v>9</v>
      </c>
      <c r="W61" t="s">
        <v>9</v>
      </c>
      <c r="X61" t="s">
        <v>9</v>
      </c>
      <c r="Y61" t="s">
        <v>9</v>
      </c>
      <c r="Z61" t="s">
        <v>9</v>
      </c>
      <c r="AA61" t="s">
        <v>9</v>
      </c>
      <c r="AB61" t="s">
        <v>9</v>
      </c>
      <c r="AC61" t="s">
        <v>9</v>
      </c>
      <c r="AD61" t="s">
        <v>9</v>
      </c>
      <c r="AE61" t="s">
        <v>9</v>
      </c>
      <c r="AF61" t="s">
        <v>9</v>
      </c>
      <c r="AG61" t="s">
        <v>9</v>
      </c>
      <c r="AH61" t="s">
        <v>9</v>
      </c>
      <c r="AI61" t="s">
        <v>9</v>
      </c>
      <c r="AJ61" t="s">
        <v>9</v>
      </c>
      <c r="AK61" t="s">
        <v>9</v>
      </c>
      <c r="AL61" t="s">
        <v>9</v>
      </c>
      <c r="AM61" t="s">
        <v>9</v>
      </c>
      <c r="AN61" t="s">
        <v>9</v>
      </c>
      <c r="AO61" t="s">
        <v>9</v>
      </c>
      <c r="AP61" t="s">
        <v>9</v>
      </c>
      <c r="AQ61" t="s">
        <v>9</v>
      </c>
      <c r="AR61" t="s">
        <v>9</v>
      </c>
      <c r="AS61" t="s">
        <v>9</v>
      </c>
      <c r="AT61" t="s">
        <v>9</v>
      </c>
      <c r="AU61" t="s">
        <v>9</v>
      </c>
      <c r="AV61" t="s">
        <v>9</v>
      </c>
      <c r="AW61" t="s">
        <v>9</v>
      </c>
      <c r="AX61" t="s">
        <v>9</v>
      </c>
      <c r="AY61" t="s">
        <v>9</v>
      </c>
      <c r="AZ61" t="s">
        <v>9</v>
      </c>
      <c r="BA61" t="s">
        <v>9</v>
      </c>
      <c r="BB61" t="s">
        <v>9</v>
      </c>
      <c r="BC61" t="s">
        <v>9</v>
      </c>
      <c r="BD61" t="s">
        <v>9</v>
      </c>
      <c r="BE61" t="s">
        <v>9</v>
      </c>
      <c r="BF61" t="s">
        <v>9</v>
      </c>
      <c r="BG61" t="s">
        <v>9</v>
      </c>
      <c r="BH61" t="s">
        <v>9</v>
      </c>
      <c r="BI61" t="s">
        <v>9</v>
      </c>
      <c r="BJ61" t="s">
        <v>9</v>
      </c>
    </row>
    <row r="62" spans="1:62">
      <c r="A62" t="s">
        <v>341</v>
      </c>
      <c r="B62" s="133" t="s">
        <v>591</v>
      </c>
      <c r="C62" s="133" t="str">
        <f>IF(COUNTIF(Measure_62443_2_1[[#This Row],[G 0.13 Interception of Compromising Interference Signals]:[IND.3.2.3 Insufficient regulations for the use of OT remote maintenance access]],"X")&gt;0,"X","")</f>
        <v/>
      </c>
      <c r="D62" t="s">
        <v>9</v>
      </c>
      <c r="E62" t="s">
        <v>9</v>
      </c>
      <c r="F62" t="s">
        <v>9</v>
      </c>
      <c r="G62" t="s">
        <v>9</v>
      </c>
      <c r="H62" t="s">
        <v>9</v>
      </c>
      <c r="I62" t="s">
        <v>9</v>
      </c>
      <c r="J62" t="s">
        <v>9</v>
      </c>
      <c r="K62" t="s">
        <v>9</v>
      </c>
      <c r="L62" t="s">
        <v>9</v>
      </c>
      <c r="M62" t="s">
        <v>9</v>
      </c>
      <c r="N62" t="s">
        <v>9</v>
      </c>
      <c r="O62" t="s">
        <v>9</v>
      </c>
      <c r="P62" t="s">
        <v>9</v>
      </c>
      <c r="Q62" t="s">
        <v>9</v>
      </c>
      <c r="R62" t="s">
        <v>9</v>
      </c>
      <c r="S62" t="s">
        <v>9</v>
      </c>
      <c r="T62" t="s">
        <v>9</v>
      </c>
      <c r="U62" t="s">
        <v>9</v>
      </c>
      <c r="V62" t="s">
        <v>9</v>
      </c>
      <c r="W62" t="s">
        <v>9</v>
      </c>
      <c r="X62" t="s">
        <v>9</v>
      </c>
      <c r="Y62" t="s">
        <v>9</v>
      </c>
      <c r="Z62" t="s">
        <v>9</v>
      </c>
      <c r="AA62" t="s">
        <v>9</v>
      </c>
      <c r="AB62" t="s">
        <v>9</v>
      </c>
      <c r="AC62" t="s">
        <v>9</v>
      </c>
      <c r="AD62" t="s">
        <v>9</v>
      </c>
      <c r="AE62" t="s">
        <v>9</v>
      </c>
      <c r="AF62" t="s">
        <v>9</v>
      </c>
      <c r="AG62" t="s">
        <v>9</v>
      </c>
      <c r="AH62" t="s">
        <v>9</v>
      </c>
      <c r="AI62" t="s">
        <v>9</v>
      </c>
      <c r="AJ62" t="s">
        <v>9</v>
      </c>
      <c r="AK62" t="s">
        <v>9</v>
      </c>
      <c r="AL62" t="s">
        <v>9</v>
      </c>
      <c r="AM62" t="s">
        <v>9</v>
      </c>
      <c r="AN62" t="s">
        <v>9</v>
      </c>
      <c r="AO62" t="s">
        <v>9</v>
      </c>
      <c r="AP62" t="s">
        <v>9</v>
      </c>
      <c r="AQ62" t="s">
        <v>9</v>
      </c>
      <c r="AR62" t="s">
        <v>9</v>
      </c>
      <c r="AS62" t="s">
        <v>9</v>
      </c>
      <c r="AT62" t="s">
        <v>9</v>
      </c>
      <c r="AU62" t="s">
        <v>9</v>
      </c>
      <c r="AV62" t="s">
        <v>9</v>
      </c>
      <c r="AW62" t="s">
        <v>9</v>
      </c>
      <c r="AX62" t="s">
        <v>9</v>
      </c>
      <c r="AY62" t="s">
        <v>9</v>
      </c>
      <c r="AZ62" t="s">
        <v>9</v>
      </c>
      <c r="BA62" t="s">
        <v>9</v>
      </c>
      <c r="BB62" t="s">
        <v>9</v>
      </c>
      <c r="BC62" t="s">
        <v>9</v>
      </c>
      <c r="BD62" t="s">
        <v>9</v>
      </c>
      <c r="BE62" t="s">
        <v>9</v>
      </c>
      <c r="BF62" t="s">
        <v>9</v>
      </c>
      <c r="BG62" t="s">
        <v>9</v>
      </c>
      <c r="BH62" t="s">
        <v>9</v>
      </c>
      <c r="BI62" t="s">
        <v>9</v>
      </c>
      <c r="BJ62" t="s">
        <v>9</v>
      </c>
    </row>
    <row r="63" spans="1:62">
      <c r="A63" t="s">
        <v>342</v>
      </c>
      <c r="B63" s="133" t="s">
        <v>591</v>
      </c>
      <c r="C63" s="133" t="str">
        <f>IF(COUNTIF(Measure_62443_2_1[[#This Row],[G 0.13 Interception of Compromising Interference Signals]:[IND.3.2.3 Insufficient regulations for the use of OT remote maintenance access]],"X")&gt;0,"X","")</f>
        <v/>
      </c>
      <c r="D63" t="s">
        <v>9</v>
      </c>
      <c r="E63" t="s">
        <v>9</v>
      </c>
      <c r="F63" t="s">
        <v>9</v>
      </c>
      <c r="G63" t="s">
        <v>9</v>
      </c>
      <c r="H63" t="s">
        <v>9</v>
      </c>
      <c r="I63" t="s">
        <v>9</v>
      </c>
      <c r="J63" t="s">
        <v>9</v>
      </c>
      <c r="K63" t="s">
        <v>9</v>
      </c>
      <c r="L63" t="s">
        <v>9</v>
      </c>
      <c r="M63" t="s">
        <v>9</v>
      </c>
      <c r="N63" t="s">
        <v>9</v>
      </c>
      <c r="O63" t="s">
        <v>9</v>
      </c>
      <c r="P63" t="s">
        <v>9</v>
      </c>
      <c r="Q63" t="s">
        <v>9</v>
      </c>
      <c r="R63" t="s">
        <v>9</v>
      </c>
      <c r="S63" t="s">
        <v>9</v>
      </c>
      <c r="T63" t="s">
        <v>9</v>
      </c>
      <c r="U63" t="s">
        <v>9</v>
      </c>
      <c r="V63" t="s">
        <v>9</v>
      </c>
      <c r="W63" t="s">
        <v>9</v>
      </c>
      <c r="X63" t="s">
        <v>9</v>
      </c>
      <c r="Y63" t="s">
        <v>9</v>
      </c>
      <c r="Z63" t="s">
        <v>9</v>
      </c>
      <c r="AA63" t="s">
        <v>9</v>
      </c>
      <c r="AB63" t="s">
        <v>9</v>
      </c>
      <c r="AC63" t="s">
        <v>9</v>
      </c>
      <c r="AD63" t="s">
        <v>9</v>
      </c>
      <c r="AE63" t="s">
        <v>9</v>
      </c>
      <c r="AF63" t="s">
        <v>9</v>
      </c>
      <c r="AG63" t="s">
        <v>9</v>
      </c>
      <c r="AH63" t="s">
        <v>9</v>
      </c>
      <c r="AI63" t="s">
        <v>9</v>
      </c>
      <c r="AJ63" t="s">
        <v>9</v>
      </c>
      <c r="AK63" t="s">
        <v>9</v>
      </c>
      <c r="AL63" t="s">
        <v>9</v>
      </c>
      <c r="AM63" t="s">
        <v>9</v>
      </c>
      <c r="AN63" t="s">
        <v>9</v>
      </c>
      <c r="AO63" t="s">
        <v>9</v>
      </c>
      <c r="AP63" t="s">
        <v>9</v>
      </c>
      <c r="AQ63" t="s">
        <v>9</v>
      </c>
      <c r="AR63" t="s">
        <v>9</v>
      </c>
      <c r="AS63" t="s">
        <v>9</v>
      </c>
      <c r="AT63" t="s">
        <v>9</v>
      </c>
      <c r="AU63" t="s">
        <v>9</v>
      </c>
      <c r="AV63" t="s">
        <v>9</v>
      </c>
      <c r="AW63" t="s">
        <v>9</v>
      </c>
      <c r="AX63" t="s">
        <v>9</v>
      </c>
      <c r="AY63" t="s">
        <v>9</v>
      </c>
      <c r="AZ63" t="s">
        <v>9</v>
      </c>
      <c r="BA63" t="s">
        <v>9</v>
      </c>
      <c r="BB63" t="s">
        <v>9</v>
      </c>
      <c r="BC63" t="s">
        <v>9</v>
      </c>
      <c r="BD63" t="s">
        <v>9</v>
      </c>
      <c r="BE63" t="s">
        <v>9</v>
      </c>
      <c r="BF63" t="s">
        <v>9</v>
      </c>
      <c r="BG63" t="s">
        <v>9</v>
      </c>
      <c r="BH63" t="s">
        <v>9</v>
      </c>
      <c r="BI63" t="s">
        <v>9</v>
      </c>
      <c r="BJ63" t="s">
        <v>9</v>
      </c>
    </row>
    <row r="64" spans="1:62">
      <c r="A64" t="s">
        <v>343</v>
      </c>
      <c r="B64" s="133" t="s">
        <v>591</v>
      </c>
      <c r="C64" s="133" t="str">
        <f>IF(COUNTIF(Measure_62443_2_1[[#This Row],[G 0.13 Interception of Compromising Interference Signals]:[IND.3.2.3 Insufficient regulations for the use of OT remote maintenance access]],"X")&gt;0,"X","")</f>
        <v/>
      </c>
      <c r="D64" t="s">
        <v>9</v>
      </c>
      <c r="E64" t="s">
        <v>9</v>
      </c>
      <c r="F64" t="s">
        <v>9</v>
      </c>
      <c r="G64" t="s">
        <v>9</v>
      </c>
      <c r="H64" t="s">
        <v>9</v>
      </c>
      <c r="I64" t="s">
        <v>9</v>
      </c>
      <c r="J64" t="s">
        <v>9</v>
      </c>
      <c r="K64" t="s">
        <v>9</v>
      </c>
      <c r="L64" t="s">
        <v>9</v>
      </c>
      <c r="M64" t="s">
        <v>9</v>
      </c>
      <c r="N64" t="s">
        <v>9</v>
      </c>
      <c r="O64" t="s">
        <v>9</v>
      </c>
      <c r="P64" t="s">
        <v>9</v>
      </c>
      <c r="Q64" t="s">
        <v>9</v>
      </c>
      <c r="R64" t="s">
        <v>9</v>
      </c>
      <c r="S64" t="s">
        <v>9</v>
      </c>
      <c r="T64" t="s">
        <v>9</v>
      </c>
      <c r="U64" t="s">
        <v>9</v>
      </c>
      <c r="V64" t="s">
        <v>9</v>
      </c>
      <c r="W64" t="s">
        <v>9</v>
      </c>
      <c r="X64" t="s">
        <v>9</v>
      </c>
      <c r="Y64" t="s">
        <v>9</v>
      </c>
      <c r="Z64" t="s">
        <v>9</v>
      </c>
      <c r="AA64" t="s">
        <v>9</v>
      </c>
      <c r="AB64" t="s">
        <v>9</v>
      </c>
      <c r="AC64" t="s">
        <v>9</v>
      </c>
      <c r="AD64" t="s">
        <v>9</v>
      </c>
      <c r="AE64" t="s">
        <v>9</v>
      </c>
      <c r="AF64" t="s">
        <v>9</v>
      </c>
      <c r="AG64" t="s">
        <v>9</v>
      </c>
      <c r="AH64" t="s">
        <v>9</v>
      </c>
      <c r="AI64" t="s">
        <v>9</v>
      </c>
      <c r="AJ64" t="s">
        <v>9</v>
      </c>
      <c r="AK64" t="s">
        <v>9</v>
      </c>
      <c r="AL64" t="s">
        <v>9</v>
      </c>
      <c r="AM64" t="s">
        <v>9</v>
      </c>
      <c r="AN64" t="s">
        <v>9</v>
      </c>
      <c r="AO64" t="s">
        <v>9</v>
      </c>
      <c r="AP64" t="s">
        <v>9</v>
      </c>
      <c r="AQ64" t="s">
        <v>9</v>
      </c>
      <c r="AR64" t="s">
        <v>9</v>
      </c>
      <c r="AS64" t="s">
        <v>9</v>
      </c>
      <c r="AT64" t="s">
        <v>9</v>
      </c>
      <c r="AU64" t="s">
        <v>9</v>
      </c>
      <c r="AV64" t="s">
        <v>9</v>
      </c>
      <c r="AW64" t="s">
        <v>9</v>
      </c>
      <c r="AX64" t="s">
        <v>9</v>
      </c>
      <c r="AY64" t="s">
        <v>9</v>
      </c>
      <c r="AZ64" t="s">
        <v>9</v>
      </c>
      <c r="BA64" t="s">
        <v>9</v>
      </c>
      <c r="BB64" t="s">
        <v>9</v>
      </c>
      <c r="BC64" t="s">
        <v>9</v>
      </c>
      <c r="BD64" t="s">
        <v>9</v>
      </c>
      <c r="BE64" t="s">
        <v>9</v>
      </c>
      <c r="BF64" t="s">
        <v>9</v>
      </c>
      <c r="BG64" t="s">
        <v>9</v>
      </c>
      <c r="BH64" t="s">
        <v>9</v>
      </c>
      <c r="BI64" t="s">
        <v>9</v>
      </c>
      <c r="BJ64" t="s">
        <v>9</v>
      </c>
    </row>
    <row r="65" spans="1:62">
      <c r="A65" t="s">
        <v>344</v>
      </c>
      <c r="B65" s="133" t="s">
        <v>591</v>
      </c>
      <c r="C65" s="133" t="str">
        <f>IF(COUNTIF(Measure_62443_2_1[[#This Row],[G 0.13 Interception of Compromising Interference Signals]:[IND.3.2.3 Insufficient regulations for the use of OT remote maintenance access]],"X")&gt;0,"X","")</f>
        <v/>
      </c>
      <c r="D65" t="s">
        <v>9</v>
      </c>
      <c r="E65" t="s">
        <v>9</v>
      </c>
      <c r="F65" t="s">
        <v>9</v>
      </c>
      <c r="G65" t="s">
        <v>9</v>
      </c>
      <c r="H65" t="s">
        <v>9</v>
      </c>
      <c r="I65" t="s">
        <v>9</v>
      </c>
      <c r="J65" t="s">
        <v>9</v>
      </c>
      <c r="K65" t="s">
        <v>9</v>
      </c>
      <c r="L65" t="s">
        <v>9</v>
      </c>
      <c r="M65" t="s">
        <v>9</v>
      </c>
      <c r="N65" t="s">
        <v>9</v>
      </c>
      <c r="O65" t="s">
        <v>9</v>
      </c>
      <c r="P65" t="s">
        <v>9</v>
      </c>
      <c r="Q65" t="s">
        <v>9</v>
      </c>
      <c r="R65" t="s">
        <v>9</v>
      </c>
      <c r="S65" t="s">
        <v>9</v>
      </c>
      <c r="T65" t="s">
        <v>9</v>
      </c>
      <c r="U65" t="s">
        <v>9</v>
      </c>
      <c r="V65" t="s">
        <v>9</v>
      </c>
      <c r="W65" t="s">
        <v>9</v>
      </c>
      <c r="X65" t="s">
        <v>9</v>
      </c>
      <c r="Y65" t="s">
        <v>9</v>
      </c>
      <c r="Z65" t="s">
        <v>9</v>
      </c>
      <c r="AA65" t="s">
        <v>9</v>
      </c>
      <c r="AB65" t="s">
        <v>9</v>
      </c>
      <c r="AC65" t="s">
        <v>9</v>
      </c>
      <c r="AD65" t="s">
        <v>9</v>
      </c>
      <c r="AE65" t="s">
        <v>9</v>
      </c>
      <c r="AF65" t="s">
        <v>9</v>
      </c>
      <c r="AG65" t="s">
        <v>9</v>
      </c>
      <c r="AH65" t="s">
        <v>9</v>
      </c>
      <c r="AI65" t="s">
        <v>9</v>
      </c>
      <c r="AJ65" t="s">
        <v>9</v>
      </c>
      <c r="AK65" t="s">
        <v>9</v>
      </c>
      <c r="AL65" t="s">
        <v>9</v>
      </c>
      <c r="AM65" t="s">
        <v>9</v>
      </c>
      <c r="AN65" t="s">
        <v>9</v>
      </c>
      <c r="AO65" t="s">
        <v>9</v>
      </c>
      <c r="AP65" t="s">
        <v>9</v>
      </c>
      <c r="AQ65" t="s">
        <v>9</v>
      </c>
      <c r="AR65" t="s">
        <v>9</v>
      </c>
      <c r="AS65" t="s">
        <v>9</v>
      </c>
      <c r="AT65" t="s">
        <v>9</v>
      </c>
      <c r="AU65" t="s">
        <v>9</v>
      </c>
      <c r="AV65" t="s">
        <v>9</v>
      </c>
      <c r="AW65" t="s">
        <v>9</v>
      </c>
      <c r="AX65" t="s">
        <v>9</v>
      </c>
      <c r="AY65" t="s">
        <v>9</v>
      </c>
      <c r="AZ65" t="s">
        <v>9</v>
      </c>
      <c r="BA65" t="s">
        <v>9</v>
      </c>
      <c r="BB65" t="s">
        <v>9</v>
      </c>
      <c r="BC65" t="s">
        <v>9</v>
      </c>
      <c r="BD65" t="s">
        <v>9</v>
      </c>
      <c r="BE65" t="s">
        <v>9</v>
      </c>
      <c r="BF65" t="s">
        <v>9</v>
      </c>
      <c r="BG65" t="s">
        <v>9</v>
      </c>
      <c r="BH65" t="s">
        <v>9</v>
      </c>
      <c r="BI65" t="s">
        <v>9</v>
      </c>
      <c r="BJ65" t="s">
        <v>9</v>
      </c>
    </row>
    <row r="66" spans="1:62">
      <c r="A66" t="s">
        <v>345</v>
      </c>
      <c r="B66" s="133" t="s">
        <v>591</v>
      </c>
      <c r="C66" s="133" t="str">
        <f>IF(COUNTIF(Measure_62443_2_1[[#This Row],[G 0.13 Interception of Compromising Interference Signals]:[IND.3.2.3 Insufficient regulations for the use of OT remote maintenance access]],"X")&gt;0,"X","")</f>
        <v/>
      </c>
      <c r="D66" t="s">
        <v>9</v>
      </c>
      <c r="E66" t="s">
        <v>9</v>
      </c>
      <c r="F66" t="s">
        <v>9</v>
      </c>
      <c r="G66" t="s">
        <v>9</v>
      </c>
      <c r="H66" t="s">
        <v>9</v>
      </c>
      <c r="I66" t="s">
        <v>9</v>
      </c>
      <c r="J66" t="s">
        <v>9</v>
      </c>
      <c r="K66" t="s">
        <v>9</v>
      </c>
      <c r="L66" t="s">
        <v>9</v>
      </c>
      <c r="M66" t="s">
        <v>9</v>
      </c>
      <c r="N66" t="s">
        <v>9</v>
      </c>
      <c r="O66" t="s">
        <v>9</v>
      </c>
      <c r="P66" t="s">
        <v>9</v>
      </c>
      <c r="Q66" t="s">
        <v>9</v>
      </c>
      <c r="R66" t="s">
        <v>9</v>
      </c>
      <c r="S66" t="s">
        <v>9</v>
      </c>
      <c r="T66" t="s">
        <v>9</v>
      </c>
      <c r="U66" t="s">
        <v>9</v>
      </c>
      <c r="V66" t="s">
        <v>9</v>
      </c>
      <c r="W66" t="s">
        <v>9</v>
      </c>
      <c r="X66" t="s">
        <v>9</v>
      </c>
      <c r="Y66" t="s">
        <v>9</v>
      </c>
      <c r="Z66" t="s">
        <v>9</v>
      </c>
      <c r="AA66" t="s">
        <v>9</v>
      </c>
      <c r="AB66" t="s">
        <v>9</v>
      </c>
      <c r="AC66" t="s">
        <v>9</v>
      </c>
      <c r="AD66" t="s">
        <v>9</v>
      </c>
      <c r="AE66" t="s">
        <v>9</v>
      </c>
      <c r="AF66" t="s">
        <v>9</v>
      </c>
      <c r="AG66" t="s">
        <v>9</v>
      </c>
      <c r="AH66" t="s">
        <v>9</v>
      </c>
      <c r="AI66" t="s">
        <v>9</v>
      </c>
      <c r="AJ66" t="s">
        <v>9</v>
      </c>
      <c r="AK66" t="s">
        <v>9</v>
      </c>
      <c r="AL66" t="s">
        <v>9</v>
      </c>
      <c r="AM66" t="s">
        <v>9</v>
      </c>
      <c r="AN66" t="s">
        <v>9</v>
      </c>
      <c r="AO66" t="s">
        <v>9</v>
      </c>
      <c r="AP66" t="s">
        <v>9</v>
      </c>
      <c r="AQ66" t="s">
        <v>9</v>
      </c>
      <c r="AR66" t="s">
        <v>9</v>
      </c>
      <c r="AS66" t="s">
        <v>9</v>
      </c>
      <c r="AT66" t="s">
        <v>9</v>
      </c>
      <c r="AU66" t="s">
        <v>9</v>
      </c>
      <c r="AV66" t="s">
        <v>9</v>
      </c>
      <c r="AW66" t="s">
        <v>9</v>
      </c>
      <c r="AX66" t="s">
        <v>9</v>
      </c>
      <c r="AY66" t="s">
        <v>9</v>
      </c>
      <c r="AZ66" t="s">
        <v>9</v>
      </c>
      <c r="BA66" t="s">
        <v>9</v>
      </c>
      <c r="BB66" t="s">
        <v>9</v>
      </c>
      <c r="BC66" t="s">
        <v>9</v>
      </c>
      <c r="BD66" t="s">
        <v>9</v>
      </c>
      <c r="BE66" t="s">
        <v>9</v>
      </c>
      <c r="BF66" t="s">
        <v>9</v>
      </c>
      <c r="BG66" t="s">
        <v>9</v>
      </c>
      <c r="BH66" t="s">
        <v>9</v>
      </c>
      <c r="BI66" t="s">
        <v>9</v>
      </c>
      <c r="BJ66" t="s">
        <v>9</v>
      </c>
    </row>
    <row r="67" spans="1:62">
      <c r="A67" t="s">
        <v>346</v>
      </c>
      <c r="B67" s="133" t="s">
        <v>591</v>
      </c>
      <c r="C67" s="133" t="str">
        <f>IF(COUNTIF(Measure_62443_2_1[[#This Row],[G 0.13 Interception of Compromising Interference Signals]:[IND.3.2.3 Insufficient regulations for the use of OT remote maintenance access]],"X")&gt;0,"X","")</f>
        <v/>
      </c>
      <c r="D67" t="s">
        <v>9</v>
      </c>
      <c r="E67" t="s">
        <v>9</v>
      </c>
      <c r="F67" t="s">
        <v>9</v>
      </c>
      <c r="G67" t="s">
        <v>9</v>
      </c>
      <c r="H67" t="s">
        <v>9</v>
      </c>
      <c r="I67" t="s">
        <v>9</v>
      </c>
      <c r="J67" t="s">
        <v>9</v>
      </c>
      <c r="K67" t="s">
        <v>9</v>
      </c>
      <c r="L67" t="s">
        <v>9</v>
      </c>
      <c r="M67" t="s">
        <v>9</v>
      </c>
      <c r="N67" t="s">
        <v>9</v>
      </c>
      <c r="O67" t="s">
        <v>9</v>
      </c>
      <c r="P67" t="s">
        <v>9</v>
      </c>
      <c r="Q67" t="s">
        <v>9</v>
      </c>
      <c r="R67" t="s">
        <v>9</v>
      </c>
      <c r="S67" t="s">
        <v>9</v>
      </c>
      <c r="T67" t="s">
        <v>9</v>
      </c>
      <c r="U67" t="s">
        <v>9</v>
      </c>
      <c r="V67" t="s">
        <v>9</v>
      </c>
      <c r="W67" t="s">
        <v>9</v>
      </c>
      <c r="X67" t="s">
        <v>9</v>
      </c>
      <c r="Y67" t="s">
        <v>9</v>
      </c>
      <c r="Z67" t="s">
        <v>9</v>
      </c>
      <c r="AA67" t="s">
        <v>9</v>
      </c>
      <c r="AB67" t="s">
        <v>9</v>
      </c>
      <c r="AC67" t="s">
        <v>9</v>
      </c>
      <c r="AD67" t="s">
        <v>9</v>
      </c>
      <c r="AE67" t="s">
        <v>9</v>
      </c>
      <c r="AF67" t="s">
        <v>9</v>
      </c>
      <c r="AG67" t="s">
        <v>9</v>
      </c>
      <c r="AH67" t="s">
        <v>9</v>
      </c>
      <c r="AI67" t="s">
        <v>9</v>
      </c>
      <c r="AJ67" t="s">
        <v>9</v>
      </c>
      <c r="AK67" t="s">
        <v>9</v>
      </c>
      <c r="AL67" t="s">
        <v>9</v>
      </c>
      <c r="AM67" t="s">
        <v>9</v>
      </c>
      <c r="AN67" t="s">
        <v>9</v>
      </c>
      <c r="AO67" t="s">
        <v>9</v>
      </c>
      <c r="AP67" t="s">
        <v>9</v>
      </c>
      <c r="AQ67" t="s">
        <v>9</v>
      </c>
      <c r="AR67" t="s">
        <v>9</v>
      </c>
      <c r="AS67" t="s">
        <v>9</v>
      </c>
      <c r="AT67" t="s">
        <v>9</v>
      </c>
      <c r="AU67" t="s">
        <v>9</v>
      </c>
      <c r="AV67" t="s">
        <v>9</v>
      </c>
      <c r="AW67" t="s">
        <v>9</v>
      </c>
      <c r="AX67" t="s">
        <v>9</v>
      </c>
      <c r="AY67" t="s">
        <v>9</v>
      </c>
      <c r="AZ67" t="s">
        <v>9</v>
      </c>
      <c r="BA67" t="s">
        <v>9</v>
      </c>
      <c r="BB67" t="s">
        <v>9</v>
      </c>
      <c r="BC67" t="s">
        <v>9</v>
      </c>
      <c r="BD67" t="s">
        <v>9</v>
      </c>
      <c r="BE67" t="s">
        <v>9</v>
      </c>
      <c r="BF67" t="s">
        <v>9</v>
      </c>
      <c r="BG67" t="s">
        <v>9</v>
      </c>
      <c r="BH67" t="s">
        <v>9</v>
      </c>
      <c r="BI67" t="s">
        <v>9</v>
      </c>
      <c r="BJ67" t="s">
        <v>9</v>
      </c>
    </row>
    <row r="68" spans="1:62">
      <c r="A68" t="s">
        <v>347</v>
      </c>
      <c r="B68" s="133" t="s">
        <v>591</v>
      </c>
      <c r="C68" s="133" t="str">
        <f>IF(COUNTIF(Measure_62443_2_1[[#This Row],[G 0.13 Interception of Compromising Interference Signals]:[IND.3.2.3 Insufficient regulations for the use of OT remote maintenance access]],"X")&gt;0,"X","")</f>
        <v/>
      </c>
      <c r="D68" t="s">
        <v>9</v>
      </c>
      <c r="E68" t="s">
        <v>9</v>
      </c>
      <c r="F68" t="s">
        <v>9</v>
      </c>
      <c r="G68" t="s">
        <v>9</v>
      </c>
      <c r="H68" t="s">
        <v>9</v>
      </c>
      <c r="I68" t="s">
        <v>9</v>
      </c>
      <c r="J68" t="s">
        <v>9</v>
      </c>
      <c r="K68" t="s">
        <v>9</v>
      </c>
      <c r="L68" t="s">
        <v>9</v>
      </c>
      <c r="M68" t="s">
        <v>9</v>
      </c>
      <c r="N68" t="s">
        <v>9</v>
      </c>
      <c r="O68" t="s">
        <v>9</v>
      </c>
      <c r="P68" t="s">
        <v>9</v>
      </c>
      <c r="Q68" t="s">
        <v>9</v>
      </c>
      <c r="R68" t="s">
        <v>9</v>
      </c>
      <c r="S68" t="s">
        <v>9</v>
      </c>
      <c r="T68" t="s">
        <v>9</v>
      </c>
      <c r="U68" t="s">
        <v>9</v>
      </c>
      <c r="V68" t="s">
        <v>9</v>
      </c>
      <c r="W68" t="s">
        <v>9</v>
      </c>
      <c r="X68" t="s">
        <v>9</v>
      </c>
      <c r="Y68" t="s">
        <v>9</v>
      </c>
      <c r="Z68" t="s">
        <v>9</v>
      </c>
      <c r="AA68" t="s">
        <v>9</v>
      </c>
      <c r="AB68" t="s">
        <v>9</v>
      </c>
      <c r="AC68" t="s">
        <v>9</v>
      </c>
      <c r="AD68" t="s">
        <v>9</v>
      </c>
      <c r="AE68" t="s">
        <v>9</v>
      </c>
      <c r="AF68" t="s">
        <v>9</v>
      </c>
      <c r="AG68" t="s">
        <v>9</v>
      </c>
      <c r="AH68" t="s">
        <v>9</v>
      </c>
      <c r="AI68" t="s">
        <v>9</v>
      </c>
      <c r="AJ68" t="s">
        <v>9</v>
      </c>
      <c r="AK68" t="s">
        <v>9</v>
      </c>
      <c r="AL68" t="s">
        <v>9</v>
      </c>
      <c r="AM68" t="s">
        <v>9</v>
      </c>
      <c r="AN68" t="s">
        <v>9</v>
      </c>
      <c r="AO68" t="s">
        <v>9</v>
      </c>
      <c r="AP68" t="s">
        <v>9</v>
      </c>
      <c r="AQ68" t="s">
        <v>9</v>
      </c>
      <c r="AR68" t="s">
        <v>9</v>
      </c>
      <c r="AS68" t="s">
        <v>9</v>
      </c>
      <c r="AT68" t="s">
        <v>9</v>
      </c>
      <c r="AU68" t="s">
        <v>9</v>
      </c>
      <c r="AV68" t="s">
        <v>9</v>
      </c>
      <c r="AW68" t="s">
        <v>9</v>
      </c>
      <c r="AX68" t="s">
        <v>9</v>
      </c>
      <c r="AY68" t="s">
        <v>9</v>
      </c>
      <c r="AZ68" t="s">
        <v>9</v>
      </c>
      <c r="BA68" t="s">
        <v>9</v>
      </c>
      <c r="BB68" t="s">
        <v>9</v>
      </c>
      <c r="BC68" t="s">
        <v>9</v>
      </c>
      <c r="BD68" t="s">
        <v>9</v>
      </c>
      <c r="BE68" t="s">
        <v>9</v>
      </c>
      <c r="BF68" t="s">
        <v>9</v>
      </c>
      <c r="BG68" t="s">
        <v>9</v>
      </c>
      <c r="BH68" t="s">
        <v>9</v>
      </c>
      <c r="BI68" t="s">
        <v>9</v>
      </c>
      <c r="BJ68" t="s">
        <v>9</v>
      </c>
    </row>
    <row r="69" spans="1:62">
      <c r="A69" t="s">
        <v>348</v>
      </c>
      <c r="B69" s="133" t="s">
        <v>591</v>
      </c>
      <c r="C69" s="133" t="str">
        <f>IF(COUNTIF(Measure_62443_2_1[[#This Row],[G 0.13 Interception of Compromising Interference Signals]:[IND.3.2.3 Insufficient regulations for the use of OT remote maintenance access]],"X")&gt;0,"X","")</f>
        <v/>
      </c>
      <c r="D69" t="s">
        <v>9</v>
      </c>
      <c r="E69" t="s">
        <v>9</v>
      </c>
      <c r="F69" t="s">
        <v>9</v>
      </c>
      <c r="G69" t="s">
        <v>9</v>
      </c>
      <c r="H69" t="s">
        <v>9</v>
      </c>
      <c r="I69" t="s">
        <v>9</v>
      </c>
      <c r="J69" t="s">
        <v>9</v>
      </c>
      <c r="K69" t="s">
        <v>9</v>
      </c>
      <c r="L69" t="s">
        <v>9</v>
      </c>
      <c r="M69" t="s">
        <v>9</v>
      </c>
      <c r="N69" t="s">
        <v>9</v>
      </c>
      <c r="O69" t="s">
        <v>9</v>
      </c>
      <c r="P69" t="s">
        <v>9</v>
      </c>
      <c r="Q69" t="s">
        <v>9</v>
      </c>
      <c r="R69" t="s">
        <v>9</v>
      </c>
      <c r="S69" t="s">
        <v>9</v>
      </c>
      <c r="T69" t="s">
        <v>9</v>
      </c>
      <c r="U69" t="s">
        <v>9</v>
      </c>
      <c r="V69" t="s">
        <v>9</v>
      </c>
      <c r="W69" t="s">
        <v>9</v>
      </c>
      <c r="X69" t="s">
        <v>9</v>
      </c>
      <c r="Y69" t="s">
        <v>9</v>
      </c>
      <c r="Z69" t="s">
        <v>9</v>
      </c>
      <c r="AA69" t="s">
        <v>9</v>
      </c>
      <c r="AB69" t="s">
        <v>9</v>
      </c>
      <c r="AC69" t="s">
        <v>9</v>
      </c>
      <c r="AD69" t="s">
        <v>9</v>
      </c>
      <c r="AE69" t="s">
        <v>9</v>
      </c>
      <c r="AF69" t="s">
        <v>9</v>
      </c>
      <c r="AG69" t="s">
        <v>9</v>
      </c>
      <c r="AH69" t="s">
        <v>9</v>
      </c>
      <c r="AI69" t="s">
        <v>9</v>
      </c>
      <c r="AJ69" t="s">
        <v>9</v>
      </c>
      <c r="AK69" t="s">
        <v>9</v>
      </c>
      <c r="AL69" t="s">
        <v>9</v>
      </c>
      <c r="AM69" t="s">
        <v>9</v>
      </c>
      <c r="AN69" t="s">
        <v>9</v>
      </c>
      <c r="AO69" t="s">
        <v>9</v>
      </c>
      <c r="AP69" t="s">
        <v>9</v>
      </c>
      <c r="AQ69" t="s">
        <v>9</v>
      </c>
      <c r="AR69" t="s">
        <v>9</v>
      </c>
      <c r="AS69" t="s">
        <v>9</v>
      </c>
      <c r="AT69" t="s">
        <v>9</v>
      </c>
      <c r="AU69" t="s">
        <v>9</v>
      </c>
      <c r="AV69" t="s">
        <v>9</v>
      </c>
      <c r="AW69" t="s">
        <v>9</v>
      </c>
      <c r="AX69" t="s">
        <v>9</v>
      </c>
      <c r="AY69" t="s">
        <v>9</v>
      </c>
      <c r="AZ69" t="s">
        <v>9</v>
      </c>
      <c r="BA69" t="s">
        <v>9</v>
      </c>
      <c r="BB69" t="s">
        <v>9</v>
      </c>
      <c r="BC69" t="s">
        <v>9</v>
      </c>
      <c r="BD69" t="s">
        <v>9</v>
      </c>
      <c r="BE69" t="s">
        <v>9</v>
      </c>
      <c r="BF69" t="s">
        <v>9</v>
      </c>
      <c r="BG69" t="s">
        <v>9</v>
      </c>
      <c r="BH69" t="s">
        <v>9</v>
      </c>
      <c r="BI69" t="s">
        <v>9</v>
      </c>
      <c r="BJ69" t="s">
        <v>9</v>
      </c>
    </row>
    <row r="70" spans="1:62">
      <c r="A70" t="s">
        <v>349</v>
      </c>
      <c r="B70" s="133" t="s">
        <v>591</v>
      </c>
      <c r="C70" s="133" t="str">
        <f>IF(COUNTIF(Measure_62443_2_1[[#This Row],[G 0.13 Interception of Compromising Interference Signals]:[IND.3.2.3 Insufficient regulations for the use of OT remote maintenance access]],"X")&gt;0,"X","")</f>
        <v/>
      </c>
      <c r="D70" t="s">
        <v>9</v>
      </c>
      <c r="E70" t="s">
        <v>9</v>
      </c>
      <c r="F70" t="s">
        <v>9</v>
      </c>
      <c r="G70" t="s">
        <v>9</v>
      </c>
      <c r="H70" t="s">
        <v>9</v>
      </c>
      <c r="I70" t="s">
        <v>9</v>
      </c>
      <c r="J70" t="s">
        <v>9</v>
      </c>
      <c r="K70" t="s">
        <v>9</v>
      </c>
      <c r="L70" t="s">
        <v>9</v>
      </c>
      <c r="M70" t="s">
        <v>9</v>
      </c>
      <c r="N70" t="s">
        <v>9</v>
      </c>
      <c r="O70" t="s">
        <v>9</v>
      </c>
      <c r="P70" t="s">
        <v>9</v>
      </c>
      <c r="Q70" t="s">
        <v>9</v>
      </c>
      <c r="R70" t="s">
        <v>9</v>
      </c>
      <c r="S70" t="s">
        <v>9</v>
      </c>
      <c r="T70" t="s">
        <v>9</v>
      </c>
      <c r="U70" t="s">
        <v>9</v>
      </c>
      <c r="V70" t="s">
        <v>9</v>
      </c>
      <c r="W70" t="s">
        <v>9</v>
      </c>
      <c r="X70" t="s">
        <v>9</v>
      </c>
      <c r="Y70" t="s">
        <v>9</v>
      </c>
      <c r="Z70" t="s">
        <v>9</v>
      </c>
      <c r="AA70" t="s">
        <v>9</v>
      </c>
      <c r="AB70" t="s">
        <v>9</v>
      </c>
      <c r="AC70" t="s">
        <v>9</v>
      </c>
      <c r="AD70" t="s">
        <v>9</v>
      </c>
      <c r="AE70" t="s">
        <v>9</v>
      </c>
      <c r="AF70" t="s">
        <v>9</v>
      </c>
      <c r="AG70" t="s">
        <v>9</v>
      </c>
      <c r="AH70" t="s">
        <v>9</v>
      </c>
      <c r="AI70" t="s">
        <v>9</v>
      </c>
      <c r="AJ70" t="s">
        <v>9</v>
      </c>
      <c r="AK70" t="s">
        <v>9</v>
      </c>
      <c r="AL70" t="s">
        <v>9</v>
      </c>
      <c r="AM70" t="s">
        <v>9</v>
      </c>
      <c r="AN70" t="s">
        <v>9</v>
      </c>
      <c r="AO70" t="s">
        <v>9</v>
      </c>
      <c r="AP70" t="s">
        <v>9</v>
      </c>
      <c r="AQ70" t="s">
        <v>9</v>
      </c>
      <c r="AR70" t="s">
        <v>9</v>
      </c>
      <c r="AS70" t="s">
        <v>9</v>
      </c>
      <c r="AT70" t="s">
        <v>9</v>
      </c>
      <c r="AU70" t="s">
        <v>9</v>
      </c>
      <c r="AV70" t="s">
        <v>9</v>
      </c>
      <c r="AW70" t="s">
        <v>9</v>
      </c>
      <c r="AX70" t="s">
        <v>9</v>
      </c>
      <c r="AY70" t="s">
        <v>9</v>
      </c>
      <c r="AZ70" t="s">
        <v>9</v>
      </c>
      <c r="BA70" t="s">
        <v>9</v>
      </c>
      <c r="BB70" t="s">
        <v>9</v>
      </c>
      <c r="BC70" t="s">
        <v>9</v>
      </c>
      <c r="BD70" t="s">
        <v>9</v>
      </c>
      <c r="BE70" t="s">
        <v>9</v>
      </c>
      <c r="BF70" t="s">
        <v>9</v>
      </c>
      <c r="BG70" t="s">
        <v>9</v>
      </c>
      <c r="BH70" t="s">
        <v>9</v>
      </c>
      <c r="BI70" t="s">
        <v>9</v>
      </c>
      <c r="BJ70" t="s">
        <v>9</v>
      </c>
    </row>
    <row r="71" spans="1:62">
      <c r="A71" t="s">
        <v>350</v>
      </c>
      <c r="B71" s="133" t="s">
        <v>591</v>
      </c>
      <c r="C71" s="133" t="str">
        <f>IF(COUNTIF(Measure_62443_2_1[[#This Row],[G 0.13 Interception of Compromising Interference Signals]:[IND.3.2.3 Insufficient regulations for the use of OT remote maintenance access]],"X")&gt;0,"X","")</f>
        <v/>
      </c>
      <c r="D71" t="s">
        <v>9</v>
      </c>
      <c r="E71" t="s">
        <v>9</v>
      </c>
      <c r="F71" t="s">
        <v>9</v>
      </c>
      <c r="G71" t="s">
        <v>9</v>
      </c>
      <c r="H71" t="s">
        <v>9</v>
      </c>
      <c r="I71" t="s">
        <v>9</v>
      </c>
      <c r="J71" t="s">
        <v>9</v>
      </c>
      <c r="K71" t="s">
        <v>9</v>
      </c>
      <c r="L71" t="s">
        <v>9</v>
      </c>
      <c r="M71" t="s">
        <v>9</v>
      </c>
      <c r="N71" t="s">
        <v>9</v>
      </c>
      <c r="O71" t="s">
        <v>9</v>
      </c>
      <c r="P71" t="s">
        <v>9</v>
      </c>
      <c r="Q71" t="s">
        <v>9</v>
      </c>
      <c r="R71" t="s">
        <v>9</v>
      </c>
      <c r="S71" t="s">
        <v>9</v>
      </c>
      <c r="T71" t="s">
        <v>9</v>
      </c>
      <c r="U71" t="s">
        <v>9</v>
      </c>
      <c r="V71" t="s">
        <v>9</v>
      </c>
      <c r="W71" t="s">
        <v>9</v>
      </c>
      <c r="X71" t="s">
        <v>9</v>
      </c>
      <c r="Y71" t="s">
        <v>9</v>
      </c>
      <c r="Z71" t="s">
        <v>9</v>
      </c>
      <c r="AA71" t="s">
        <v>9</v>
      </c>
      <c r="AB71" t="s">
        <v>9</v>
      </c>
      <c r="AC71" t="s">
        <v>9</v>
      </c>
      <c r="AD71" t="s">
        <v>9</v>
      </c>
      <c r="AE71" t="s">
        <v>9</v>
      </c>
      <c r="AF71" t="s">
        <v>9</v>
      </c>
      <c r="AG71" t="s">
        <v>9</v>
      </c>
      <c r="AH71" t="s">
        <v>9</v>
      </c>
      <c r="AI71" t="s">
        <v>9</v>
      </c>
      <c r="AJ71" t="s">
        <v>9</v>
      </c>
      <c r="AK71" t="s">
        <v>9</v>
      </c>
      <c r="AL71" t="s">
        <v>9</v>
      </c>
      <c r="AM71" t="s">
        <v>9</v>
      </c>
      <c r="AN71" t="s">
        <v>9</v>
      </c>
      <c r="AO71" t="s">
        <v>9</v>
      </c>
      <c r="AP71" t="s">
        <v>9</v>
      </c>
      <c r="AQ71" t="s">
        <v>9</v>
      </c>
      <c r="AR71" t="s">
        <v>9</v>
      </c>
      <c r="AS71" t="s">
        <v>9</v>
      </c>
      <c r="AT71" t="s">
        <v>9</v>
      </c>
      <c r="AU71" t="s">
        <v>9</v>
      </c>
      <c r="AV71" t="s">
        <v>9</v>
      </c>
      <c r="AW71" t="s">
        <v>9</v>
      </c>
      <c r="AX71" t="s">
        <v>9</v>
      </c>
      <c r="AY71" t="s">
        <v>9</v>
      </c>
      <c r="AZ71" t="s">
        <v>9</v>
      </c>
      <c r="BA71" t="s">
        <v>9</v>
      </c>
      <c r="BB71" t="s">
        <v>9</v>
      </c>
      <c r="BC71" t="s">
        <v>9</v>
      </c>
      <c r="BD71" t="s">
        <v>9</v>
      </c>
      <c r="BE71" t="s">
        <v>9</v>
      </c>
      <c r="BF71" t="s">
        <v>9</v>
      </c>
      <c r="BG71" t="s">
        <v>9</v>
      </c>
      <c r="BH71" t="s">
        <v>9</v>
      </c>
      <c r="BI71" t="s">
        <v>9</v>
      </c>
      <c r="BJ71" t="s">
        <v>9</v>
      </c>
    </row>
    <row r="72" spans="1:62">
      <c r="A72" t="s">
        <v>351</v>
      </c>
      <c r="B72" s="133" t="s">
        <v>591</v>
      </c>
      <c r="C72" s="133" t="str">
        <f>IF(COUNTIF(Measure_62443_2_1[[#This Row],[G 0.13 Interception of Compromising Interference Signals]:[IND.3.2.3 Insufficient regulations for the use of OT remote maintenance access]],"X")&gt;0,"X","")</f>
        <v/>
      </c>
      <c r="D72" t="s">
        <v>9</v>
      </c>
      <c r="E72" t="s">
        <v>9</v>
      </c>
      <c r="F72" t="s">
        <v>9</v>
      </c>
      <c r="G72" t="s">
        <v>9</v>
      </c>
      <c r="H72" t="s">
        <v>9</v>
      </c>
      <c r="I72" t="s">
        <v>9</v>
      </c>
      <c r="J72" t="s">
        <v>9</v>
      </c>
      <c r="K72" t="s">
        <v>9</v>
      </c>
      <c r="L72" t="s">
        <v>9</v>
      </c>
      <c r="M72" t="s">
        <v>9</v>
      </c>
      <c r="N72" t="s">
        <v>9</v>
      </c>
      <c r="O72" t="s">
        <v>9</v>
      </c>
      <c r="P72" t="s">
        <v>9</v>
      </c>
      <c r="Q72" t="s">
        <v>9</v>
      </c>
      <c r="R72" t="s">
        <v>9</v>
      </c>
      <c r="S72" t="s">
        <v>9</v>
      </c>
      <c r="T72" t="s">
        <v>9</v>
      </c>
      <c r="U72" t="s">
        <v>9</v>
      </c>
      <c r="V72" t="s">
        <v>9</v>
      </c>
      <c r="W72" t="s">
        <v>9</v>
      </c>
      <c r="X72" t="s">
        <v>9</v>
      </c>
      <c r="Y72" t="s">
        <v>9</v>
      </c>
      <c r="Z72" t="s">
        <v>9</v>
      </c>
      <c r="AA72" t="s">
        <v>9</v>
      </c>
      <c r="AB72" t="s">
        <v>9</v>
      </c>
      <c r="AC72" t="s">
        <v>9</v>
      </c>
      <c r="AD72" t="s">
        <v>9</v>
      </c>
      <c r="AE72" t="s">
        <v>9</v>
      </c>
      <c r="AF72" t="s">
        <v>9</v>
      </c>
      <c r="AG72" t="s">
        <v>9</v>
      </c>
      <c r="AH72" t="s">
        <v>9</v>
      </c>
      <c r="AI72" t="s">
        <v>9</v>
      </c>
      <c r="AJ72" t="s">
        <v>9</v>
      </c>
      <c r="AK72" t="s">
        <v>9</v>
      </c>
      <c r="AL72" t="s">
        <v>9</v>
      </c>
      <c r="AM72" t="s">
        <v>9</v>
      </c>
      <c r="AN72" t="s">
        <v>9</v>
      </c>
      <c r="AO72" t="s">
        <v>9</v>
      </c>
      <c r="AP72" t="s">
        <v>9</v>
      </c>
      <c r="AQ72" t="s">
        <v>9</v>
      </c>
      <c r="AR72" t="s">
        <v>9</v>
      </c>
      <c r="AS72" t="s">
        <v>9</v>
      </c>
      <c r="AT72" t="s">
        <v>9</v>
      </c>
      <c r="AU72" t="s">
        <v>9</v>
      </c>
      <c r="AV72" t="s">
        <v>9</v>
      </c>
      <c r="AW72" t="s">
        <v>9</v>
      </c>
      <c r="AX72" t="s">
        <v>9</v>
      </c>
      <c r="AY72" t="s">
        <v>9</v>
      </c>
      <c r="AZ72" t="s">
        <v>9</v>
      </c>
      <c r="BA72" t="s">
        <v>9</v>
      </c>
      <c r="BB72" t="s">
        <v>9</v>
      </c>
      <c r="BC72" t="s">
        <v>9</v>
      </c>
      <c r="BD72" t="s">
        <v>9</v>
      </c>
      <c r="BE72" t="s">
        <v>9</v>
      </c>
      <c r="BF72" t="s">
        <v>9</v>
      </c>
      <c r="BG72" t="s">
        <v>9</v>
      </c>
      <c r="BH72" t="s">
        <v>9</v>
      </c>
      <c r="BI72" t="s">
        <v>9</v>
      </c>
      <c r="BJ72" t="s">
        <v>9</v>
      </c>
    </row>
    <row r="73" spans="1:62">
      <c r="A73" t="s">
        <v>352</v>
      </c>
      <c r="B73" s="133" t="s">
        <v>591</v>
      </c>
      <c r="C73" s="133" t="str">
        <f>IF(COUNTIF(Measure_62443_2_1[[#This Row],[G 0.13 Interception of Compromising Interference Signals]:[IND.3.2.3 Insufficient regulations for the use of OT remote maintenance access]],"X")&gt;0,"X","")</f>
        <v/>
      </c>
      <c r="D73" t="s">
        <v>9</v>
      </c>
      <c r="E73" t="s">
        <v>9</v>
      </c>
      <c r="F73" t="s">
        <v>9</v>
      </c>
      <c r="G73" t="s">
        <v>9</v>
      </c>
      <c r="H73" t="s">
        <v>9</v>
      </c>
      <c r="I73" t="s">
        <v>9</v>
      </c>
      <c r="J73" t="s">
        <v>9</v>
      </c>
      <c r="K73" t="s">
        <v>9</v>
      </c>
      <c r="L73" t="s">
        <v>9</v>
      </c>
      <c r="M73" t="s">
        <v>9</v>
      </c>
      <c r="N73" t="s">
        <v>9</v>
      </c>
      <c r="O73" t="s">
        <v>9</v>
      </c>
      <c r="P73" t="s">
        <v>9</v>
      </c>
      <c r="Q73" t="s">
        <v>9</v>
      </c>
      <c r="R73" t="s">
        <v>9</v>
      </c>
      <c r="S73" t="s">
        <v>9</v>
      </c>
      <c r="T73" t="s">
        <v>9</v>
      </c>
      <c r="U73" t="s">
        <v>9</v>
      </c>
      <c r="V73" t="s">
        <v>9</v>
      </c>
      <c r="W73" t="s">
        <v>9</v>
      </c>
      <c r="X73" t="s">
        <v>9</v>
      </c>
      <c r="Y73" t="s">
        <v>9</v>
      </c>
      <c r="Z73" t="s">
        <v>9</v>
      </c>
      <c r="AA73" t="s">
        <v>9</v>
      </c>
      <c r="AB73" t="s">
        <v>9</v>
      </c>
      <c r="AC73" t="s">
        <v>9</v>
      </c>
      <c r="AD73" t="s">
        <v>9</v>
      </c>
      <c r="AE73" t="s">
        <v>9</v>
      </c>
      <c r="AF73" t="s">
        <v>9</v>
      </c>
      <c r="AG73" t="s">
        <v>9</v>
      </c>
      <c r="AH73" t="s">
        <v>9</v>
      </c>
      <c r="AI73" t="s">
        <v>9</v>
      </c>
      <c r="AJ73" t="s">
        <v>9</v>
      </c>
      <c r="AK73" t="s">
        <v>9</v>
      </c>
      <c r="AL73" t="s">
        <v>9</v>
      </c>
      <c r="AM73" t="s">
        <v>9</v>
      </c>
      <c r="AN73" t="s">
        <v>9</v>
      </c>
      <c r="AO73" t="s">
        <v>9</v>
      </c>
      <c r="AP73" t="s">
        <v>9</v>
      </c>
      <c r="AQ73" t="s">
        <v>9</v>
      </c>
      <c r="AR73" t="s">
        <v>9</v>
      </c>
      <c r="AS73" t="s">
        <v>9</v>
      </c>
      <c r="AT73" t="s">
        <v>9</v>
      </c>
      <c r="AU73" t="s">
        <v>9</v>
      </c>
      <c r="AV73" t="s">
        <v>9</v>
      </c>
      <c r="AW73" t="s">
        <v>9</v>
      </c>
      <c r="AX73" t="s">
        <v>9</v>
      </c>
      <c r="AY73" t="s">
        <v>9</v>
      </c>
      <c r="AZ73" t="s">
        <v>9</v>
      </c>
      <c r="BA73" t="s">
        <v>9</v>
      </c>
      <c r="BB73" t="s">
        <v>9</v>
      </c>
      <c r="BC73" t="s">
        <v>9</v>
      </c>
      <c r="BD73" t="s">
        <v>9</v>
      </c>
      <c r="BE73" t="s">
        <v>9</v>
      </c>
      <c r="BF73" t="s">
        <v>9</v>
      </c>
      <c r="BG73" t="s">
        <v>9</v>
      </c>
      <c r="BH73" t="s">
        <v>9</v>
      </c>
      <c r="BI73" t="s">
        <v>9</v>
      </c>
      <c r="BJ73" t="s">
        <v>9</v>
      </c>
    </row>
    <row r="74" spans="1:62">
      <c r="A74" t="s">
        <v>353</v>
      </c>
      <c r="B74" s="133" t="s">
        <v>591</v>
      </c>
      <c r="C74" s="133" t="str">
        <f>IF(COUNTIF(Measure_62443_2_1[[#This Row],[G 0.13 Interception of Compromising Interference Signals]:[IND.3.2.3 Insufficient regulations for the use of OT remote maintenance access]],"X")&gt;0,"X","")</f>
        <v/>
      </c>
      <c r="D74" t="s">
        <v>9</v>
      </c>
      <c r="E74" t="s">
        <v>9</v>
      </c>
      <c r="F74" t="s">
        <v>9</v>
      </c>
      <c r="G74" t="s">
        <v>9</v>
      </c>
      <c r="H74" t="s">
        <v>9</v>
      </c>
      <c r="I74" t="s">
        <v>9</v>
      </c>
      <c r="J74" t="s">
        <v>9</v>
      </c>
      <c r="K74" t="s">
        <v>9</v>
      </c>
      <c r="L74" t="s">
        <v>9</v>
      </c>
      <c r="M74" t="s">
        <v>9</v>
      </c>
      <c r="N74" t="s">
        <v>9</v>
      </c>
      <c r="O74" t="s">
        <v>9</v>
      </c>
      <c r="P74" t="s">
        <v>9</v>
      </c>
      <c r="Q74" t="s">
        <v>9</v>
      </c>
      <c r="R74" t="s">
        <v>9</v>
      </c>
      <c r="S74" t="s">
        <v>9</v>
      </c>
      <c r="T74" t="s">
        <v>9</v>
      </c>
      <c r="U74" t="s">
        <v>9</v>
      </c>
      <c r="V74" t="s">
        <v>9</v>
      </c>
      <c r="W74" t="s">
        <v>9</v>
      </c>
      <c r="X74" t="s">
        <v>9</v>
      </c>
      <c r="Y74" t="s">
        <v>9</v>
      </c>
      <c r="Z74" t="s">
        <v>9</v>
      </c>
      <c r="AA74" t="s">
        <v>9</v>
      </c>
      <c r="AB74" t="s">
        <v>9</v>
      </c>
      <c r="AC74" t="s">
        <v>9</v>
      </c>
      <c r="AD74" t="s">
        <v>9</v>
      </c>
      <c r="AE74" t="s">
        <v>9</v>
      </c>
      <c r="AF74" t="s">
        <v>9</v>
      </c>
      <c r="AG74" t="s">
        <v>9</v>
      </c>
      <c r="AH74" t="s">
        <v>9</v>
      </c>
      <c r="AI74" t="s">
        <v>9</v>
      </c>
      <c r="AJ74" t="s">
        <v>9</v>
      </c>
      <c r="AK74" t="s">
        <v>9</v>
      </c>
      <c r="AL74" t="s">
        <v>9</v>
      </c>
      <c r="AM74" t="s">
        <v>9</v>
      </c>
      <c r="AN74" t="s">
        <v>9</v>
      </c>
      <c r="AO74" t="s">
        <v>9</v>
      </c>
      <c r="AP74" t="s">
        <v>9</v>
      </c>
      <c r="AQ74" t="s">
        <v>9</v>
      </c>
      <c r="AR74" t="s">
        <v>9</v>
      </c>
      <c r="AS74" t="s">
        <v>9</v>
      </c>
      <c r="AT74" t="s">
        <v>9</v>
      </c>
      <c r="AU74" t="s">
        <v>9</v>
      </c>
      <c r="AV74" t="s">
        <v>9</v>
      </c>
      <c r="AW74" t="s">
        <v>9</v>
      </c>
      <c r="AX74" t="s">
        <v>9</v>
      </c>
      <c r="AY74" t="s">
        <v>9</v>
      </c>
      <c r="AZ74" t="s">
        <v>9</v>
      </c>
      <c r="BA74" t="s">
        <v>9</v>
      </c>
      <c r="BB74" t="s">
        <v>9</v>
      </c>
      <c r="BC74" t="s">
        <v>9</v>
      </c>
      <c r="BD74" t="s">
        <v>9</v>
      </c>
      <c r="BE74" t="s">
        <v>9</v>
      </c>
      <c r="BF74" t="s">
        <v>9</v>
      </c>
      <c r="BG74" t="s">
        <v>9</v>
      </c>
      <c r="BH74" t="s">
        <v>9</v>
      </c>
      <c r="BI74" t="s">
        <v>9</v>
      </c>
      <c r="BJ74" t="s">
        <v>9</v>
      </c>
    </row>
    <row r="75" spans="1:62">
      <c r="A75" t="s">
        <v>354</v>
      </c>
      <c r="B75" s="133" t="s">
        <v>591</v>
      </c>
      <c r="C75" s="133" t="str">
        <f>IF(COUNTIF(Measure_62443_2_1[[#This Row],[G 0.13 Interception of Compromising Interference Signals]:[IND.3.2.3 Insufficient regulations for the use of OT remote maintenance access]],"X")&gt;0,"X","")</f>
        <v/>
      </c>
      <c r="D75" t="s">
        <v>9</v>
      </c>
      <c r="E75" t="s">
        <v>9</v>
      </c>
      <c r="F75" t="s">
        <v>9</v>
      </c>
      <c r="G75" t="s">
        <v>9</v>
      </c>
      <c r="H75" t="s">
        <v>9</v>
      </c>
      <c r="I75" t="s">
        <v>9</v>
      </c>
      <c r="J75" t="s">
        <v>9</v>
      </c>
      <c r="K75" t="s">
        <v>9</v>
      </c>
      <c r="L75" t="s">
        <v>9</v>
      </c>
      <c r="M75" t="s">
        <v>9</v>
      </c>
      <c r="N75" t="s">
        <v>9</v>
      </c>
      <c r="O75" t="s">
        <v>9</v>
      </c>
      <c r="P75" t="s">
        <v>9</v>
      </c>
      <c r="Q75" t="s">
        <v>9</v>
      </c>
      <c r="R75" t="s">
        <v>9</v>
      </c>
      <c r="S75" t="s">
        <v>9</v>
      </c>
      <c r="T75" t="s">
        <v>9</v>
      </c>
      <c r="U75" t="s">
        <v>9</v>
      </c>
      <c r="V75" t="s">
        <v>9</v>
      </c>
      <c r="W75" t="s">
        <v>9</v>
      </c>
      <c r="X75" t="s">
        <v>9</v>
      </c>
      <c r="Y75" t="s">
        <v>9</v>
      </c>
      <c r="Z75" t="s">
        <v>9</v>
      </c>
      <c r="AA75" t="s">
        <v>9</v>
      </c>
      <c r="AB75" t="s">
        <v>9</v>
      </c>
      <c r="AC75" t="s">
        <v>9</v>
      </c>
      <c r="AD75" t="s">
        <v>9</v>
      </c>
      <c r="AE75" t="s">
        <v>9</v>
      </c>
      <c r="AF75" t="s">
        <v>9</v>
      </c>
      <c r="AG75" t="s">
        <v>9</v>
      </c>
      <c r="AH75" t="s">
        <v>9</v>
      </c>
      <c r="AI75" t="s">
        <v>9</v>
      </c>
      <c r="AJ75" t="s">
        <v>9</v>
      </c>
      <c r="AK75" t="s">
        <v>9</v>
      </c>
      <c r="AL75" t="s">
        <v>9</v>
      </c>
      <c r="AM75" t="s">
        <v>9</v>
      </c>
      <c r="AN75" t="s">
        <v>9</v>
      </c>
      <c r="AO75" t="s">
        <v>9</v>
      </c>
      <c r="AP75" t="s">
        <v>9</v>
      </c>
      <c r="AQ75" t="s">
        <v>9</v>
      </c>
      <c r="AR75" t="s">
        <v>9</v>
      </c>
      <c r="AS75" t="s">
        <v>9</v>
      </c>
      <c r="AT75" t="s">
        <v>9</v>
      </c>
      <c r="AU75" t="s">
        <v>9</v>
      </c>
      <c r="AV75" t="s">
        <v>9</v>
      </c>
      <c r="AW75" t="s">
        <v>9</v>
      </c>
      <c r="AX75" t="s">
        <v>9</v>
      </c>
      <c r="AY75" t="s">
        <v>9</v>
      </c>
      <c r="AZ75" t="s">
        <v>9</v>
      </c>
      <c r="BA75" t="s">
        <v>9</v>
      </c>
      <c r="BB75" t="s">
        <v>9</v>
      </c>
      <c r="BC75" t="s">
        <v>9</v>
      </c>
      <c r="BD75" t="s">
        <v>9</v>
      </c>
      <c r="BE75" t="s">
        <v>9</v>
      </c>
      <c r="BF75" t="s">
        <v>9</v>
      </c>
      <c r="BG75" t="s">
        <v>9</v>
      </c>
      <c r="BH75" t="s">
        <v>9</v>
      </c>
      <c r="BI75" t="s">
        <v>9</v>
      </c>
      <c r="BJ75" t="s">
        <v>9</v>
      </c>
    </row>
    <row r="76" spans="1:62">
      <c r="A76" t="s">
        <v>355</v>
      </c>
      <c r="B76" s="133" t="s">
        <v>591</v>
      </c>
      <c r="C76" s="133" t="str">
        <f>IF(COUNTIF(Measure_62443_2_1[[#This Row],[G 0.13 Interception of Compromising Interference Signals]:[IND.3.2.3 Insufficient regulations for the use of OT remote maintenance access]],"X")&gt;0,"X","")</f>
        <v/>
      </c>
      <c r="D76" t="s">
        <v>9</v>
      </c>
      <c r="E76" t="s">
        <v>9</v>
      </c>
      <c r="F76" t="s">
        <v>9</v>
      </c>
      <c r="G76" t="s">
        <v>9</v>
      </c>
      <c r="H76" t="s">
        <v>9</v>
      </c>
      <c r="I76" t="s">
        <v>9</v>
      </c>
      <c r="J76" t="s">
        <v>9</v>
      </c>
      <c r="K76" t="s">
        <v>9</v>
      </c>
      <c r="L76" t="s">
        <v>9</v>
      </c>
      <c r="M76" t="s">
        <v>9</v>
      </c>
      <c r="N76" t="s">
        <v>9</v>
      </c>
      <c r="O76" t="s">
        <v>9</v>
      </c>
      <c r="P76" t="s">
        <v>9</v>
      </c>
      <c r="Q76" t="s">
        <v>9</v>
      </c>
      <c r="R76" t="s">
        <v>9</v>
      </c>
      <c r="S76" t="s">
        <v>9</v>
      </c>
      <c r="T76" t="s">
        <v>9</v>
      </c>
      <c r="U76" t="s">
        <v>9</v>
      </c>
      <c r="V76" t="s">
        <v>9</v>
      </c>
      <c r="W76" t="s">
        <v>9</v>
      </c>
      <c r="X76" t="s">
        <v>9</v>
      </c>
      <c r="Y76" t="s">
        <v>9</v>
      </c>
      <c r="Z76" t="s">
        <v>9</v>
      </c>
      <c r="AA76" t="s">
        <v>9</v>
      </c>
      <c r="AB76" t="s">
        <v>9</v>
      </c>
      <c r="AC76" t="s">
        <v>9</v>
      </c>
      <c r="AD76" t="s">
        <v>9</v>
      </c>
      <c r="AE76" t="s">
        <v>9</v>
      </c>
      <c r="AF76" t="s">
        <v>9</v>
      </c>
      <c r="AG76" t="s">
        <v>9</v>
      </c>
      <c r="AH76" t="s">
        <v>9</v>
      </c>
      <c r="AI76" t="s">
        <v>9</v>
      </c>
      <c r="AJ76" t="s">
        <v>9</v>
      </c>
      <c r="AK76" t="s">
        <v>9</v>
      </c>
      <c r="AL76" t="s">
        <v>9</v>
      </c>
      <c r="AM76" t="s">
        <v>9</v>
      </c>
      <c r="AN76" t="s">
        <v>9</v>
      </c>
      <c r="AO76" t="s">
        <v>9</v>
      </c>
      <c r="AP76" t="s">
        <v>9</v>
      </c>
      <c r="AQ76" t="s">
        <v>9</v>
      </c>
      <c r="AR76" t="s">
        <v>9</v>
      </c>
      <c r="AS76" t="s">
        <v>9</v>
      </c>
      <c r="AT76" t="s">
        <v>9</v>
      </c>
      <c r="AU76" t="s">
        <v>9</v>
      </c>
      <c r="AV76" t="s">
        <v>9</v>
      </c>
      <c r="AW76" t="s">
        <v>9</v>
      </c>
      <c r="AX76" t="s">
        <v>9</v>
      </c>
      <c r="AY76" t="s">
        <v>9</v>
      </c>
      <c r="AZ76" t="s">
        <v>9</v>
      </c>
      <c r="BA76" t="s">
        <v>9</v>
      </c>
      <c r="BB76" t="s">
        <v>9</v>
      </c>
      <c r="BC76" t="s">
        <v>9</v>
      </c>
      <c r="BD76" t="s">
        <v>9</v>
      </c>
      <c r="BE76" t="s">
        <v>9</v>
      </c>
      <c r="BF76" t="s">
        <v>9</v>
      </c>
      <c r="BG76" t="s">
        <v>9</v>
      </c>
      <c r="BH76" t="s">
        <v>9</v>
      </c>
      <c r="BI76" t="s">
        <v>9</v>
      </c>
      <c r="BJ76" t="s">
        <v>9</v>
      </c>
    </row>
    <row r="77" spans="1:62">
      <c r="A77" t="s">
        <v>356</v>
      </c>
      <c r="B77" s="133" t="s">
        <v>591</v>
      </c>
      <c r="C77" s="133" t="str">
        <f>IF(COUNTIF(Measure_62443_2_1[[#This Row],[G 0.13 Interception of Compromising Interference Signals]:[IND.3.2.3 Insufficient regulations for the use of OT remote maintenance access]],"X")&gt;0,"X","")</f>
        <v/>
      </c>
      <c r="D77" t="s">
        <v>9</v>
      </c>
      <c r="E77" t="s">
        <v>9</v>
      </c>
      <c r="F77" t="s">
        <v>9</v>
      </c>
      <c r="G77" t="s">
        <v>9</v>
      </c>
      <c r="H77" t="s">
        <v>9</v>
      </c>
      <c r="I77" t="s">
        <v>9</v>
      </c>
      <c r="J77" t="s">
        <v>9</v>
      </c>
      <c r="K77" t="s">
        <v>9</v>
      </c>
      <c r="L77" t="s">
        <v>9</v>
      </c>
      <c r="M77" t="s">
        <v>9</v>
      </c>
      <c r="N77" t="s">
        <v>9</v>
      </c>
      <c r="O77" t="s">
        <v>9</v>
      </c>
      <c r="P77" t="s">
        <v>9</v>
      </c>
      <c r="Q77" t="s">
        <v>9</v>
      </c>
      <c r="R77" t="s">
        <v>9</v>
      </c>
      <c r="S77" t="s">
        <v>9</v>
      </c>
      <c r="T77" t="s">
        <v>9</v>
      </c>
      <c r="U77" t="s">
        <v>9</v>
      </c>
      <c r="V77" t="s">
        <v>9</v>
      </c>
      <c r="W77" t="s">
        <v>9</v>
      </c>
      <c r="X77" t="s">
        <v>9</v>
      </c>
      <c r="Y77" t="s">
        <v>9</v>
      </c>
      <c r="Z77" t="s">
        <v>9</v>
      </c>
      <c r="AA77" t="s">
        <v>9</v>
      </c>
      <c r="AB77" t="s">
        <v>9</v>
      </c>
      <c r="AC77" t="s">
        <v>9</v>
      </c>
      <c r="AD77" t="s">
        <v>9</v>
      </c>
      <c r="AE77" t="s">
        <v>9</v>
      </c>
      <c r="AF77" t="s">
        <v>9</v>
      </c>
      <c r="AG77" t="s">
        <v>9</v>
      </c>
      <c r="AH77" t="s">
        <v>9</v>
      </c>
      <c r="AI77" t="s">
        <v>9</v>
      </c>
      <c r="AJ77" t="s">
        <v>9</v>
      </c>
      <c r="AK77" t="s">
        <v>9</v>
      </c>
      <c r="AL77" t="s">
        <v>9</v>
      </c>
      <c r="AM77" t="s">
        <v>9</v>
      </c>
      <c r="AN77" t="s">
        <v>9</v>
      </c>
      <c r="AO77" t="s">
        <v>9</v>
      </c>
      <c r="AP77" t="s">
        <v>9</v>
      </c>
      <c r="AQ77" t="s">
        <v>9</v>
      </c>
      <c r="AR77" t="s">
        <v>9</v>
      </c>
      <c r="AS77" t="s">
        <v>9</v>
      </c>
      <c r="AT77" t="s">
        <v>9</v>
      </c>
      <c r="AU77" t="s">
        <v>9</v>
      </c>
      <c r="AV77" t="s">
        <v>9</v>
      </c>
      <c r="AW77" t="s">
        <v>9</v>
      </c>
      <c r="AX77" t="s">
        <v>9</v>
      </c>
      <c r="AY77" t="s">
        <v>9</v>
      </c>
      <c r="AZ77" t="s">
        <v>9</v>
      </c>
      <c r="BA77" t="s">
        <v>9</v>
      </c>
      <c r="BB77" t="s">
        <v>9</v>
      </c>
      <c r="BC77" t="s">
        <v>9</v>
      </c>
      <c r="BD77" t="s">
        <v>9</v>
      </c>
      <c r="BE77" t="s">
        <v>9</v>
      </c>
      <c r="BF77" t="s">
        <v>9</v>
      </c>
      <c r="BG77" t="s">
        <v>9</v>
      </c>
      <c r="BH77" t="s">
        <v>9</v>
      </c>
      <c r="BI77" t="s">
        <v>9</v>
      </c>
      <c r="BJ77" t="s">
        <v>9</v>
      </c>
    </row>
    <row r="78" spans="1:62">
      <c r="A78" t="s">
        <v>357</v>
      </c>
      <c r="B78" s="133" t="s">
        <v>591</v>
      </c>
      <c r="C78" s="133" t="str">
        <f>IF(COUNTIF(Measure_62443_2_1[[#This Row],[G 0.13 Interception of Compromising Interference Signals]:[IND.3.2.3 Insufficient regulations for the use of OT remote maintenance access]],"X")&gt;0,"X","")</f>
        <v/>
      </c>
      <c r="D78" t="s">
        <v>9</v>
      </c>
      <c r="E78" t="s">
        <v>9</v>
      </c>
      <c r="F78" t="s">
        <v>9</v>
      </c>
      <c r="G78" t="s">
        <v>9</v>
      </c>
      <c r="H78" t="s">
        <v>9</v>
      </c>
      <c r="I78" t="s">
        <v>9</v>
      </c>
      <c r="J78" t="s">
        <v>9</v>
      </c>
      <c r="K78" t="s">
        <v>9</v>
      </c>
      <c r="L78" t="s">
        <v>9</v>
      </c>
      <c r="M78" t="s">
        <v>9</v>
      </c>
      <c r="N78" t="s">
        <v>9</v>
      </c>
      <c r="O78" t="s">
        <v>9</v>
      </c>
      <c r="P78" t="s">
        <v>9</v>
      </c>
      <c r="Q78" t="s">
        <v>9</v>
      </c>
      <c r="R78" t="s">
        <v>9</v>
      </c>
      <c r="S78" t="s">
        <v>9</v>
      </c>
      <c r="T78" t="s">
        <v>9</v>
      </c>
      <c r="U78" t="s">
        <v>9</v>
      </c>
      <c r="V78" t="s">
        <v>9</v>
      </c>
      <c r="W78" t="s">
        <v>9</v>
      </c>
      <c r="X78" t="s">
        <v>9</v>
      </c>
      <c r="Y78" t="s">
        <v>9</v>
      </c>
      <c r="Z78" t="s">
        <v>9</v>
      </c>
      <c r="AA78" t="s">
        <v>9</v>
      </c>
      <c r="AB78" t="s">
        <v>9</v>
      </c>
      <c r="AC78" t="s">
        <v>9</v>
      </c>
      <c r="AD78" t="s">
        <v>9</v>
      </c>
      <c r="AE78" t="s">
        <v>9</v>
      </c>
      <c r="AF78" t="s">
        <v>9</v>
      </c>
      <c r="AG78" t="s">
        <v>9</v>
      </c>
      <c r="AH78" t="s">
        <v>9</v>
      </c>
      <c r="AI78" t="s">
        <v>9</v>
      </c>
      <c r="AJ78" t="s">
        <v>9</v>
      </c>
      <c r="AK78" t="s">
        <v>9</v>
      </c>
      <c r="AL78" t="s">
        <v>9</v>
      </c>
      <c r="AM78" t="s">
        <v>9</v>
      </c>
      <c r="AN78" t="s">
        <v>9</v>
      </c>
      <c r="AO78" t="s">
        <v>9</v>
      </c>
      <c r="AP78" t="s">
        <v>9</v>
      </c>
      <c r="AQ78" t="s">
        <v>9</v>
      </c>
      <c r="AR78" t="s">
        <v>9</v>
      </c>
      <c r="AS78" t="s">
        <v>9</v>
      </c>
      <c r="AT78" t="s">
        <v>9</v>
      </c>
      <c r="AU78" t="s">
        <v>9</v>
      </c>
      <c r="AV78" t="s">
        <v>9</v>
      </c>
      <c r="AW78" t="s">
        <v>9</v>
      </c>
      <c r="AX78" t="s">
        <v>9</v>
      </c>
      <c r="AY78" t="s">
        <v>9</v>
      </c>
      <c r="AZ78" t="s">
        <v>9</v>
      </c>
      <c r="BA78" t="s">
        <v>9</v>
      </c>
      <c r="BB78" t="s">
        <v>9</v>
      </c>
      <c r="BC78" t="s">
        <v>9</v>
      </c>
      <c r="BD78" t="s">
        <v>9</v>
      </c>
      <c r="BE78" t="s">
        <v>9</v>
      </c>
      <c r="BF78" t="s">
        <v>9</v>
      </c>
      <c r="BG78" t="s">
        <v>9</v>
      </c>
      <c r="BH78" t="s">
        <v>9</v>
      </c>
      <c r="BI78" t="s">
        <v>9</v>
      </c>
      <c r="BJ78" t="s">
        <v>9</v>
      </c>
    </row>
    <row r="79" spans="1:62">
      <c r="A79" t="s">
        <v>358</v>
      </c>
      <c r="B79" s="133" t="s">
        <v>591</v>
      </c>
      <c r="C79" s="133" t="str">
        <f>IF(COUNTIF(Measure_62443_2_1[[#This Row],[G 0.13 Interception of Compromising Interference Signals]:[IND.3.2.3 Insufficient regulations for the use of OT remote maintenance access]],"X")&gt;0,"X","")</f>
        <v/>
      </c>
      <c r="D79" t="s">
        <v>9</v>
      </c>
      <c r="E79" t="s">
        <v>9</v>
      </c>
      <c r="F79" t="s">
        <v>9</v>
      </c>
      <c r="G79" t="s">
        <v>9</v>
      </c>
      <c r="H79" t="s">
        <v>9</v>
      </c>
      <c r="I79" t="s">
        <v>9</v>
      </c>
      <c r="J79" t="s">
        <v>9</v>
      </c>
      <c r="K79" t="s">
        <v>9</v>
      </c>
      <c r="L79" t="s">
        <v>9</v>
      </c>
      <c r="M79" t="s">
        <v>9</v>
      </c>
      <c r="N79" t="s">
        <v>9</v>
      </c>
      <c r="O79" t="s">
        <v>9</v>
      </c>
      <c r="P79" t="s">
        <v>9</v>
      </c>
      <c r="Q79" t="s">
        <v>9</v>
      </c>
      <c r="R79" t="s">
        <v>9</v>
      </c>
      <c r="S79" t="s">
        <v>9</v>
      </c>
      <c r="T79" t="s">
        <v>9</v>
      </c>
      <c r="U79" t="s">
        <v>9</v>
      </c>
      <c r="V79" t="s">
        <v>9</v>
      </c>
      <c r="W79" t="s">
        <v>9</v>
      </c>
      <c r="X79" t="s">
        <v>9</v>
      </c>
      <c r="Y79" t="s">
        <v>9</v>
      </c>
      <c r="Z79" t="s">
        <v>9</v>
      </c>
      <c r="AA79" t="s">
        <v>9</v>
      </c>
      <c r="AB79" t="s">
        <v>9</v>
      </c>
      <c r="AC79" t="s">
        <v>9</v>
      </c>
      <c r="AD79" t="s">
        <v>9</v>
      </c>
      <c r="AE79" t="s">
        <v>9</v>
      </c>
      <c r="AF79" t="s">
        <v>9</v>
      </c>
      <c r="AG79" t="s">
        <v>9</v>
      </c>
      <c r="AH79" t="s">
        <v>9</v>
      </c>
      <c r="AI79" t="s">
        <v>9</v>
      </c>
      <c r="AJ79" t="s">
        <v>9</v>
      </c>
      <c r="AK79" t="s">
        <v>9</v>
      </c>
      <c r="AL79" t="s">
        <v>9</v>
      </c>
      <c r="AM79" t="s">
        <v>9</v>
      </c>
      <c r="AN79" t="s">
        <v>9</v>
      </c>
      <c r="AO79" t="s">
        <v>9</v>
      </c>
      <c r="AP79" t="s">
        <v>9</v>
      </c>
      <c r="AQ79" t="s">
        <v>9</v>
      </c>
      <c r="AR79" t="s">
        <v>9</v>
      </c>
      <c r="AS79" t="s">
        <v>9</v>
      </c>
      <c r="AT79" t="s">
        <v>9</v>
      </c>
      <c r="AU79" t="s">
        <v>9</v>
      </c>
      <c r="AV79" t="s">
        <v>9</v>
      </c>
      <c r="AW79" t="s">
        <v>9</v>
      </c>
      <c r="AX79" t="s">
        <v>9</v>
      </c>
      <c r="AY79" t="s">
        <v>9</v>
      </c>
      <c r="AZ79" t="s">
        <v>9</v>
      </c>
      <c r="BA79" t="s">
        <v>9</v>
      </c>
      <c r="BB79" t="s">
        <v>9</v>
      </c>
      <c r="BC79" t="s">
        <v>9</v>
      </c>
      <c r="BD79" t="s">
        <v>9</v>
      </c>
      <c r="BE79" t="s">
        <v>9</v>
      </c>
      <c r="BF79" t="s">
        <v>9</v>
      </c>
      <c r="BG79" t="s">
        <v>9</v>
      </c>
      <c r="BH79" t="s">
        <v>9</v>
      </c>
      <c r="BI79" t="s">
        <v>9</v>
      </c>
      <c r="BJ79" t="s">
        <v>9</v>
      </c>
    </row>
    <row r="80" spans="1:62">
      <c r="A80" t="s">
        <v>359</v>
      </c>
      <c r="B80" s="133" t="s">
        <v>591</v>
      </c>
      <c r="C80" s="133" t="str">
        <f>IF(COUNTIF(Measure_62443_2_1[[#This Row],[G 0.13 Interception of Compromising Interference Signals]:[IND.3.2.3 Insufficient regulations for the use of OT remote maintenance access]],"X")&gt;0,"X","")</f>
        <v/>
      </c>
      <c r="D80" t="s">
        <v>9</v>
      </c>
      <c r="E80" t="s">
        <v>9</v>
      </c>
      <c r="F80" t="s">
        <v>9</v>
      </c>
      <c r="G80" t="s">
        <v>9</v>
      </c>
      <c r="H80" t="s">
        <v>9</v>
      </c>
      <c r="I80" t="s">
        <v>9</v>
      </c>
      <c r="J80" t="s">
        <v>9</v>
      </c>
      <c r="K80" t="s">
        <v>9</v>
      </c>
      <c r="L80" t="s">
        <v>9</v>
      </c>
      <c r="M80" t="s">
        <v>9</v>
      </c>
      <c r="N80" t="s">
        <v>9</v>
      </c>
      <c r="O80" t="s">
        <v>9</v>
      </c>
      <c r="P80" t="s">
        <v>9</v>
      </c>
      <c r="Q80" t="s">
        <v>9</v>
      </c>
      <c r="R80" t="s">
        <v>9</v>
      </c>
      <c r="S80" t="s">
        <v>9</v>
      </c>
      <c r="T80" t="s">
        <v>9</v>
      </c>
      <c r="U80" t="s">
        <v>9</v>
      </c>
      <c r="V80" t="s">
        <v>9</v>
      </c>
      <c r="W80" t="s">
        <v>9</v>
      </c>
      <c r="X80" t="s">
        <v>9</v>
      </c>
      <c r="Y80" t="s">
        <v>9</v>
      </c>
      <c r="Z80" t="s">
        <v>9</v>
      </c>
      <c r="AA80" t="s">
        <v>9</v>
      </c>
      <c r="AB80" t="s">
        <v>9</v>
      </c>
      <c r="AC80" t="s">
        <v>9</v>
      </c>
      <c r="AD80" t="s">
        <v>9</v>
      </c>
      <c r="AE80" t="s">
        <v>9</v>
      </c>
      <c r="AF80" t="s">
        <v>9</v>
      </c>
      <c r="AG80" t="s">
        <v>9</v>
      </c>
      <c r="AH80" t="s">
        <v>9</v>
      </c>
      <c r="AI80" t="s">
        <v>9</v>
      </c>
      <c r="AJ80" t="s">
        <v>9</v>
      </c>
      <c r="AK80" t="s">
        <v>9</v>
      </c>
      <c r="AL80" t="s">
        <v>9</v>
      </c>
      <c r="AM80" t="s">
        <v>9</v>
      </c>
      <c r="AN80" t="s">
        <v>9</v>
      </c>
      <c r="AO80" t="s">
        <v>9</v>
      </c>
      <c r="AP80" t="s">
        <v>9</v>
      </c>
      <c r="AQ80" t="s">
        <v>9</v>
      </c>
      <c r="AR80" t="s">
        <v>9</v>
      </c>
      <c r="AS80" t="s">
        <v>9</v>
      </c>
      <c r="AT80" t="s">
        <v>9</v>
      </c>
      <c r="AU80" t="s">
        <v>9</v>
      </c>
      <c r="AV80" t="s">
        <v>9</v>
      </c>
      <c r="AW80" t="s">
        <v>9</v>
      </c>
      <c r="AX80" t="s">
        <v>9</v>
      </c>
      <c r="AY80" t="s">
        <v>9</v>
      </c>
      <c r="AZ80" t="s">
        <v>9</v>
      </c>
      <c r="BA80" t="s">
        <v>9</v>
      </c>
      <c r="BB80" t="s">
        <v>9</v>
      </c>
      <c r="BC80" t="s">
        <v>9</v>
      </c>
      <c r="BD80" t="s">
        <v>9</v>
      </c>
      <c r="BE80" t="s">
        <v>9</v>
      </c>
      <c r="BF80" t="s">
        <v>9</v>
      </c>
      <c r="BG80" t="s">
        <v>9</v>
      </c>
      <c r="BH80" t="s">
        <v>9</v>
      </c>
      <c r="BI80" t="s">
        <v>9</v>
      </c>
      <c r="BJ80" t="s">
        <v>9</v>
      </c>
    </row>
    <row r="81" spans="1:62">
      <c r="A81" t="s">
        <v>360</v>
      </c>
      <c r="B81" s="133" t="s">
        <v>591</v>
      </c>
      <c r="C81" s="133" t="str">
        <f>IF(COUNTIF(Measure_62443_2_1[[#This Row],[G 0.13 Interception of Compromising Interference Signals]:[IND.3.2.3 Insufficient regulations for the use of OT remote maintenance access]],"X")&gt;0,"X","")</f>
        <v/>
      </c>
      <c r="D81" t="s">
        <v>9</v>
      </c>
      <c r="E81" t="s">
        <v>9</v>
      </c>
      <c r="F81" t="s">
        <v>9</v>
      </c>
      <c r="G81" t="s">
        <v>9</v>
      </c>
      <c r="H81" t="s">
        <v>9</v>
      </c>
      <c r="I81" t="s">
        <v>9</v>
      </c>
      <c r="J81" t="s">
        <v>9</v>
      </c>
      <c r="K81" t="s">
        <v>9</v>
      </c>
      <c r="L81" t="s">
        <v>9</v>
      </c>
      <c r="M81" t="s">
        <v>9</v>
      </c>
      <c r="N81" t="s">
        <v>9</v>
      </c>
      <c r="O81" t="s">
        <v>9</v>
      </c>
      <c r="P81" t="s">
        <v>9</v>
      </c>
      <c r="Q81" t="s">
        <v>9</v>
      </c>
      <c r="R81" t="s">
        <v>9</v>
      </c>
      <c r="S81" t="s">
        <v>9</v>
      </c>
      <c r="T81" t="s">
        <v>9</v>
      </c>
      <c r="U81" t="s">
        <v>9</v>
      </c>
      <c r="V81" t="s">
        <v>9</v>
      </c>
      <c r="W81" t="s">
        <v>9</v>
      </c>
      <c r="X81" t="s">
        <v>9</v>
      </c>
      <c r="Y81" t="s">
        <v>9</v>
      </c>
      <c r="Z81" t="s">
        <v>9</v>
      </c>
      <c r="AA81" t="s">
        <v>9</v>
      </c>
      <c r="AB81" t="s">
        <v>9</v>
      </c>
      <c r="AC81" t="s">
        <v>9</v>
      </c>
      <c r="AD81" t="s">
        <v>9</v>
      </c>
      <c r="AE81" t="s">
        <v>9</v>
      </c>
      <c r="AF81" t="s">
        <v>9</v>
      </c>
      <c r="AG81" t="s">
        <v>9</v>
      </c>
      <c r="AH81" t="s">
        <v>9</v>
      </c>
      <c r="AI81" t="s">
        <v>9</v>
      </c>
      <c r="AJ81" t="s">
        <v>9</v>
      </c>
      <c r="AK81" t="s">
        <v>9</v>
      </c>
      <c r="AL81" t="s">
        <v>9</v>
      </c>
      <c r="AM81" t="s">
        <v>9</v>
      </c>
      <c r="AN81" t="s">
        <v>9</v>
      </c>
      <c r="AO81" t="s">
        <v>9</v>
      </c>
      <c r="AP81" t="s">
        <v>9</v>
      </c>
      <c r="AQ81" t="s">
        <v>9</v>
      </c>
      <c r="AR81" t="s">
        <v>9</v>
      </c>
      <c r="AS81" t="s">
        <v>9</v>
      </c>
      <c r="AT81" t="s">
        <v>9</v>
      </c>
      <c r="AU81" t="s">
        <v>9</v>
      </c>
      <c r="AV81" t="s">
        <v>9</v>
      </c>
      <c r="AW81" t="s">
        <v>9</v>
      </c>
      <c r="AX81" t="s">
        <v>9</v>
      </c>
      <c r="AY81" t="s">
        <v>9</v>
      </c>
      <c r="AZ81" t="s">
        <v>9</v>
      </c>
      <c r="BA81" t="s">
        <v>9</v>
      </c>
      <c r="BB81" t="s">
        <v>9</v>
      </c>
      <c r="BC81" t="s">
        <v>9</v>
      </c>
      <c r="BD81" t="s">
        <v>9</v>
      </c>
      <c r="BE81" t="s">
        <v>9</v>
      </c>
      <c r="BF81" t="s">
        <v>9</v>
      </c>
      <c r="BG81" t="s">
        <v>9</v>
      </c>
      <c r="BH81" t="s">
        <v>9</v>
      </c>
      <c r="BI81" t="s">
        <v>9</v>
      </c>
      <c r="BJ81" t="s">
        <v>9</v>
      </c>
    </row>
    <row r="82" spans="1:62">
      <c r="A82" t="s">
        <v>361</v>
      </c>
      <c r="B82" s="133" t="s">
        <v>591</v>
      </c>
      <c r="C82" s="133" t="str">
        <f>IF(COUNTIF(Measure_62443_2_1[[#This Row],[G 0.13 Interception of Compromising Interference Signals]:[IND.3.2.3 Insufficient regulations for the use of OT remote maintenance access]],"X")&gt;0,"X","")</f>
        <v/>
      </c>
      <c r="D82" t="s">
        <v>9</v>
      </c>
      <c r="E82" t="s">
        <v>9</v>
      </c>
      <c r="F82" t="s">
        <v>9</v>
      </c>
      <c r="G82" t="s">
        <v>9</v>
      </c>
      <c r="H82" t="s">
        <v>9</v>
      </c>
      <c r="I82" t="s">
        <v>9</v>
      </c>
      <c r="J82" t="s">
        <v>9</v>
      </c>
      <c r="K82" t="s">
        <v>9</v>
      </c>
      <c r="L82" t="s">
        <v>9</v>
      </c>
      <c r="M82" t="s">
        <v>9</v>
      </c>
      <c r="N82" t="s">
        <v>9</v>
      </c>
      <c r="O82" t="s">
        <v>9</v>
      </c>
      <c r="P82" t="s">
        <v>9</v>
      </c>
      <c r="Q82" t="s">
        <v>9</v>
      </c>
      <c r="R82" t="s">
        <v>9</v>
      </c>
      <c r="S82" t="s">
        <v>9</v>
      </c>
      <c r="T82" t="s">
        <v>9</v>
      </c>
      <c r="U82" t="s">
        <v>9</v>
      </c>
      <c r="V82" t="s">
        <v>9</v>
      </c>
      <c r="W82" t="s">
        <v>9</v>
      </c>
      <c r="X82" t="s">
        <v>9</v>
      </c>
      <c r="Y82" t="s">
        <v>9</v>
      </c>
      <c r="Z82" t="s">
        <v>9</v>
      </c>
      <c r="AA82" t="s">
        <v>9</v>
      </c>
      <c r="AB82" t="s">
        <v>9</v>
      </c>
      <c r="AC82" t="s">
        <v>9</v>
      </c>
      <c r="AD82" t="s">
        <v>9</v>
      </c>
      <c r="AE82" t="s">
        <v>9</v>
      </c>
      <c r="AF82" t="s">
        <v>9</v>
      </c>
      <c r="AG82" t="s">
        <v>9</v>
      </c>
      <c r="AH82" t="s">
        <v>9</v>
      </c>
      <c r="AI82" t="s">
        <v>9</v>
      </c>
      <c r="AJ82" t="s">
        <v>9</v>
      </c>
      <c r="AK82" t="s">
        <v>9</v>
      </c>
      <c r="AL82" t="s">
        <v>9</v>
      </c>
      <c r="AM82" t="s">
        <v>9</v>
      </c>
      <c r="AN82" t="s">
        <v>9</v>
      </c>
      <c r="AO82" t="s">
        <v>9</v>
      </c>
      <c r="AP82" t="s">
        <v>9</v>
      </c>
      <c r="AQ82" t="s">
        <v>9</v>
      </c>
      <c r="AR82" t="s">
        <v>9</v>
      </c>
      <c r="AS82" t="s">
        <v>9</v>
      </c>
      <c r="AT82" t="s">
        <v>9</v>
      </c>
      <c r="AU82" t="s">
        <v>9</v>
      </c>
      <c r="AV82" t="s">
        <v>9</v>
      </c>
      <c r="AW82" t="s">
        <v>9</v>
      </c>
      <c r="AX82" t="s">
        <v>9</v>
      </c>
      <c r="AY82" t="s">
        <v>9</v>
      </c>
      <c r="AZ82" t="s">
        <v>9</v>
      </c>
      <c r="BA82" t="s">
        <v>9</v>
      </c>
      <c r="BB82" t="s">
        <v>9</v>
      </c>
      <c r="BC82" t="s">
        <v>9</v>
      </c>
      <c r="BD82" t="s">
        <v>9</v>
      </c>
      <c r="BE82" t="s">
        <v>9</v>
      </c>
      <c r="BF82" t="s">
        <v>9</v>
      </c>
      <c r="BG82" t="s">
        <v>9</v>
      </c>
      <c r="BH82" t="s">
        <v>9</v>
      </c>
      <c r="BI82" t="s">
        <v>9</v>
      </c>
      <c r="BJ82" t="s">
        <v>9</v>
      </c>
    </row>
    <row r="83" spans="1:62">
      <c r="A83" t="s">
        <v>362</v>
      </c>
      <c r="B83" s="133" t="s">
        <v>591</v>
      </c>
      <c r="C83" s="133" t="str">
        <f>IF(COUNTIF(Measure_62443_2_1[[#This Row],[G 0.13 Interception of Compromising Interference Signals]:[IND.3.2.3 Insufficient regulations for the use of OT remote maintenance access]],"X")&gt;0,"X","")</f>
        <v/>
      </c>
      <c r="D83" t="s">
        <v>9</v>
      </c>
      <c r="E83" t="s">
        <v>9</v>
      </c>
      <c r="F83" t="s">
        <v>9</v>
      </c>
      <c r="G83" t="s">
        <v>9</v>
      </c>
      <c r="H83" t="s">
        <v>9</v>
      </c>
      <c r="I83" t="s">
        <v>9</v>
      </c>
      <c r="J83" t="s">
        <v>9</v>
      </c>
      <c r="K83" t="s">
        <v>9</v>
      </c>
      <c r="L83" t="s">
        <v>9</v>
      </c>
      <c r="M83" t="s">
        <v>9</v>
      </c>
      <c r="N83" t="s">
        <v>9</v>
      </c>
      <c r="O83" t="s">
        <v>9</v>
      </c>
      <c r="P83" t="s">
        <v>9</v>
      </c>
      <c r="Q83" t="s">
        <v>9</v>
      </c>
      <c r="R83" t="s">
        <v>9</v>
      </c>
      <c r="S83" t="s">
        <v>9</v>
      </c>
      <c r="T83" t="s">
        <v>9</v>
      </c>
      <c r="U83" t="s">
        <v>9</v>
      </c>
      <c r="V83" t="s">
        <v>9</v>
      </c>
      <c r="W83" t="s">
        <v>9</v>
      </c>
      <c r="X83" t="s">
        <v>9</v>
      </c>
      <c r="Y83" t="s">
        <v>9</v>
      </c>
      <c r="Z83" t="s">
        <v>9</v>
      </c>
      <c r="AA83" t="s">
        <v>9</v>
      </c>
      <c r="AB83" t="s">
        <v>9</v>
      </c>
      <c r="AC83" t="s">
        <v>9</v>
      </c>
      <c r="AD83" t="s">
        <v>9</v>
      </c>
      <c r="AE83" t="s">
        <v>9</v>
      </c>
      <c r="AF83" t="s">
        <v>9</v>
      </c>
      <c r="AG83" t="s">
        <v>9</v>
      </c>
      <c r="AH83" t="s">
        <v>9</v>
      </c>
      <c r="AI83" t="s">
        <v>9</v>
      </c>
      <c r="AJ83" t="s">
        <v>9</v>
      </c>
      <c r="AK83" t="s">
        <v>9</v>
      </c>
      <c r="AL83" t="s">
        <v>9</v>
      </c>
      <c r="AM83" t="s">
        <v>9</v>
      </c>
      <c r="AN83" t="s">
        <v>9</v>
      </c>
      <c r="AO83" t="s">
        <v>9</v>
      </c>
      <c r="AP83" t="s">
        <v>9</v>
      </c>
      <c r="AQ83" t="s">
        <v>9</v>
      </c>
      <c r="AR83" t="s">
        <v>9</v>
      </c>
      <c r="AS83" t="s">
        <v>9</v>
      </c>
      <c r="AT83" t="s">
        <v>9</v>
      </c>
      <c r="AU83" t="s">
        <v>9</v>
      </c>
      <c r="AV83" t="s">
        <v>9</v>
      </c>
      <c r="AW83" t="s">
        <v>9</v>
      </c>
      <c r="AX83" t="s">
        <v>9</v>
      </c>
      <c r="AY83" t="s">
        <v>9</v>
      </c>
      <c r="AZ83" t="s">
        <v>9</v>
      </c>
      <c r="BA83" t="s">
        <v>9</v>
      </c>
      <c r="BB83" t="s">
        <v>9</v>
      </c>
      <c r="BC83" t="s">
        <v>9</v>
      </c>
      <c r="BD83" t="s">
        <v>9</v>
      </c>
      <c r="BE83" t="s">
        <v>9</v>
      </c>
      <c r="BF83" t="s">
        <v>9</v>
      </c>
      <c r="BG83" t="s">
        <v>9</v>
      </c>
      <c r="BH83" t="s">
        <v>9</v>
      </c>
      <c r="BI83" t="s">
        <v>9</v>
      </c>
      <c r="BJ83" t="s">
        <v>9</v>
      </c>
    </row>
    <row r="84" spans="1:62">
      <c r="A84" t="s">
        <v>363</v>
      </c>
      <c r="B84" s="133" t="s">
        <v>591</v>
      </c>
      <c r="C84" s="133" t="str">
        <f>IF(COUNTIF(Measure_62443_2_1[[#This Row],[G 0.13 Interception of Compromising Interference Signals]:[IND.3.2.3 Insufficient regulations for the use of OT remote maintenance access]],"X")&gt;0,"X","")</f>
        <v/>
      </c>
      <c r="D84" t="s">
        <v>9</v>
      </c>
      <c r="E84" t="s">
        <v>9</v>
      </c>
      <c r="F84" t="s">
        <v>9</v>
      </c>
      <c r="G84" t="s">
        <v>9</v>
      </c>
      <c r="H84" t="s">
        <v>9</v>
      </c>
      <c r="I84" t="s">
        <v>9</v>
      </c>
      <c r="J84" t="s">
        <v>9</v>
      </c>
      <c r="K84" t="s">
        <v>9</v>
      </c>
      <c r="L84" t="s">
        <v>9</v>
      </c>
      <c r="M84" t="s">
        <v>9</v>
      </c>
      <c r="N84" t="s">
        <v>9</v>
      </c>
      <c r="O84" t="s">
        <v>9</v>
      </c>
      <c r="P84" t="s">
        <v>9</v>
      </c>
      <c r="Q84" t="s">
        <v>9</v>
      </c>
      <c r="R84" t="s">
        <v>9</v>
      </c>
      <c r="S84" t="s">
        <v>9</v>
      </c>
      <c r="T84" t="s">
        <v>9</v>
      </c>
      <c r="U84" t="s">
        <v>9</v>
      </c>
      <c r="V84" t="s">
        <v>9</v>
      </c>
      <c r="W84" t="s">
        <v>9</v>
      </c>
      <c r="X84" t="s">
        <v>9</v>
      </c>
      <c r="Y84" t="s">
        <v>9</v>
      </c>
      <c r="Z84" t="s">
        <v>9</v>
      </c>
      <c r="AA84" t="s">
        <v>9</v>
      </c>
      <c r="AB84" t="s">
        <v>9</v>
      </c>
      <c r="AC84" t="s">
        <v>9</v>
      </c>
      <c r="AD84" t="s">
        <v>9</v>
      </c>
      <c r="AE84" t="s">
        <v>9</v>
      </c>
      <c r="AF84" t="s">
        <v>9</v>
      </c>
      <c r="AG84" t="s">
        <v>9</v>
      </c>
      <c r="AH84" t="s">
        <v>9</v>
      </c>
      <c r="AI84" t="s">
        <v>9</v>
      </c>
      <c r="AJ84" t="s">
        <v>9</v>
      </c>
      <c r="AK84" t="s">
        <v>9</v>
      </c>
      <c r="AL84" t="s">
        <v>9</v>
      </c>
      <c r="AM84" t="s">
        <v>9</v>
      </c>
      <c r="AN84" t="s">
        <v>9</v>
      </c>
      <c r="AO84" t="s">
        <v>9</v>
      </c>
      <c r="AP84" t="s">
        <v>9</v>
      </c>
      <c r="AQ84" t="s">
        <v>9</v>
      </c>
      <c r="AR84" t="s">
        <v>9</v>
      </c>
      <c r="AS84" t="s">
        <v>9</v>
      </c>
      <c r="AT84" t="s">
        <v>9</v>
      </c>
      <c r="AU84" t="s">
        <v>9</v>
      </c>
      <c r="AV84" t="s">
        <v>9</v>
      </c>
      <c r="AW84" t="s">
        <v>9</v>
      </c>
      <c r="AX84" t="s">
        <v>9</v>
      </c>
      <c r="AY84" t="s">
        <v>9</v>
      </c>
      <c r="AZ84" t="s">
        <v>9</v>
      </c>
      <c r="BA84" t="s">
        <v>9</v>
      </c>
      <c r="BB84" t="s">
        <v>9</v>
      </c>
      <c r="BC84" t="s">
        <v>9</v>
      </c>
      <c r="BD84" t="s">
        <v>9</v>
      </c>
      <c r="BE84" t="s">
        <v>9</v>
      </c>
      <c r="BF84" t="s">
        <v>9</v>
      </c>
      <c r="BG84" t="s">
        <v>9</v>
      </c>
      <c r="BH84" t="s">
        <v>9</v>
      </c>
      <c r="BI84" t="s">
        <v>9</v>
      </c>
      <c r="BJ84" t="s">
        <v>9</v>
      </c>
    </row>
    <row r="85" spans="1:62">
      <c r="A85" t="s">
        <v>364</v>
      </c>
      <c r="B85" s="133" t="s">
        <v>591</v>
      </c>
      <c r="C85" s="133" t="str">
        <f>IF(COUNTIF(Measure_62443_2_1[[#This Row],[G 0.13 Interception of Compromising Interference Signals]:[IND.3.2.3 Insufficient regulations for the use of OT remote maintenance access]],"X")&gt;0,"X","")</f>
        <v/>
      </c>
      <c r="D85" t="s">
        <v>9</v>
      </c>
      <c r="E85" t="s">
        <v>9</v>
      </c>
      <c r="F85" t="s">
        <v>9</v>
      </c>
      <c r="G85" t="s">
        <v>9</v>
      </c>
      <c r="H85" t="s">
        <v>9</v>
      </c>
      <c r="I85" t="s">
        <v>9</v>
      </c>
      <c r="J85" t="s">
        <v>9</v>
      </c>
      <c r="K85" t="s">
        <v>9</v>
      </c>
      <c r="L85" t="s">
        <v>9</v>
      </c>
      <c r="M85" t="s">
        <v>9</v>
      </c>
      <c r="N85" t="s">
        <v>9</v>
      </c>
      <c r="O85" t="s">
        <v>9</v>
      </c>
      <c r="P85" t="s">
        <v>9</v>
      </c>
      <c r="Q85" t="s">
        <v>9</v>
      </c>
      <c r="R85" t="s">
        <v>9</v>
      </c>
      <c r="S85" t="s">
        <v>9</v>
      </c>
      <c r="T85" t="s">
        <v>9</v>
      </c>
      <c r="U85" t="s">
        <v>9</v>
      </c>
      <c r="V85" t="s">
        <v>9</v>
      </c>
      <c r="W85" t="s">
        <v>9</v>
      </c>
      <c r="X85" t="s">
        <v>9</v>
      </c>
      <c r="Y85" t="s">
        <v>9</v>
      </c>
      <c r="Z85" t="s">
        <v>9</v>
      </c>
      <c r="AA85" t="s">
        <v>9</v>
      </c>
      <c r="AB85" t="s">
        <v>9</v>
      </c>
      <c r="AC85" t="s">
        <v>9</v>
      </c>
      <c r="AD85" t="s">
        <v>9</v>
      </c>
      <c r="AE85" t="s">
        <v>9</v>
      </c>
      <c r="AF85" t="s">
        <v>9</v>
      </c>
      <c r="AG85" t="s">
        <v>9</v>
      </c>
      <c r="AH85" t="s">
        <v>9</v>
      </c>
      <c r="AI85" t="s">
        <v>9</v>
      </c>
      <c r="AJ85" t="s">
        <v>9</v>
      </c>
      <c r="AK85" t="s">
        <v>9</v>
      </c>
      <c r="AL85" t="s">
        <v>9</v>
      </c>
      <c r="AM85" t="s">
        <v>9</v>
      </c>
      <c r="AN85" t="s">
        <v>9</v>
      </c>
      <c r="AO85" t="s">
        <v>9</v>
      </c>
      <c r="AP85" t="s">
        <v>9</v>
      </c>
      <c r="AQ85" t="s">
        <v>9</v>
      </c>
      <c r="AR85" t="s">
        <v>9</v>
      </c>
      <c r="AS85" t="s">
        <v>9</v>
      </c>
      <c r="AT85" t="s">
        <v>9</v>
      </c>
      <c r="AU85" t="s">
        <v>9</v>
      </c>
      <c r="AV85" t="s">
        <v>9</v>
      </c>
      <c r="AW85" t="s">
        <v>9</v>
      </c>
      <c r="AX85" t="s">
        <v>9</v>
      </c>
      <c r="AY85" t="s">
        <v>9</v>
      </c>
      <c r="AZ85" t="s">
        <v>9</v>
      </c>
      <c r="BA85" t="s">
        <v>9</v>
      </c>
      <c r="BB85" t="s">
        <v>9</v>
      </c>
      <c r="BC85" t="s">
        <v>9</v>
      </c>
      <c r="BD85" t="s">
        <v>9</v>
      </c>
      <c r="BE85" t="s">
        <v>9</v>
      </c>
      <c r="BF85" t="s">
        <v>9</v>
      </c>
      <c r="BG85" t="s">
        <v>9</v>
      </c>
      <c r="BH85" t="s">
        <v>9</v>
      </c>
      <c r="BI85" t="s">
        <v>9</v>
      </c>
      <c r="BJ85" t="s">
        <v>9</v>
      </c>
    </row>
    <row r="86" spans="1:62">
      <c r="A86" t="s">
        <v>365</v>
      </c>
      <c r="B86" s="133" t="s">
        <v>591</v>
      </c>
      <c r="C86" s="133" t="str">
        <f>IF(COUNTIF(Measure_62443_2_1[[#This Row],[G 0.13 Interception of Compromising Interference Signals]:[IND.3.2.3 Insufficient regulations for the use of OT remote maintenance access]],"X")&gt;0,"X","")</f>
        <v/>
      </c>
      <c r="D86" t="s">
        <v>9</v>
      </c>
      <c r="E86" t="s">
        <v>9</v>
      </c>
      <c r="F86" t="s">
        <v>9</v>
      </c>
      <c r="G86" t="s">
        <v>9</v>
      </c>
      <c r="H86" t="s">
        <v>9</v>
      </c>
      <c r="I86" t="s">
        <v>9</v>
      </c>
      <c r="J86" t="s">
        <v>9</v>
      </c>
      <c r="K86" t="s">
        <v>9</v>
      </c>
      <c r="L86" t="s">
        <v>9</v>
      </c>
      <c r="M86" t="s">
        <v>9</v>
      </c>
      <c r="N86" t="s">
        <v>9</v>
      </c>
      <c r="O86" t="s">
        <v>9</v>
      </c>
      <c r="P86" t="s">
        <v>9</v>
      </c>
      <c r="Q86" t="s">
        <v>9</v>
      </c>
      <c r="R86" t="s">
        <v>9</v>
      </c>
      <c r="S86" t="s">
        <v>9</v>
      </c>
      <c r="T86" t="s">
        <v>9</v>
      </c>
      <c r="U86" t="s">
        <v>9</v>
      </c>
      <c r="V86" t="s">
        <v>9</v>
      </c>
      <c r="W86" t="s">
        <v>9</v>
      </c>
      <c r="X86" t="s">
        <v>9</v>
      </c>
      <c r="Y86" t="s">
        <v>9</v>
      </c>
      <c r="Z86" t="s">
        <v>9</v>
      </c>
      <c r="AA86" t="s">
        <v>9</v>
      </c>
      <c r="AB86" t="s">
        <v>9</v>
      </c>
      <c r="AC86" t="s">
        <v>9</v>
      </c>
      <c r="AD86" t="s">
        <v>9</v>
      </c>
      <c r="AE86" t="s">
        <v>9</v>
      </c>
      <c r="AF86" t="s">
        <v>9</v>
      </c>
      <c r="AG86" t="s">
        <v>9</v>
      </c>
      <c r="AH86" t="s">
        <v>9</v>
      </c>
      <c r="AI86" t="s">
        <v>9</v>
      </c>
      <c r="AJ86" t="s">
        <v>9</v>
      </c>
      <c r="AK86" t="s">
        <v>9</v>
      </c>
      <c r="AL86" t="s">
        <v>9</v>
      </c>
      <c r="AM86" t="s">
        <v>9</v>
      </c>
      <c r="AN86" t="s">
        <v>9</v>
      </c>
      <c r="AO86" t="s">
        <v>9</v>
      </c>
      <c r="AP86" t="s">
        <v>9</v>
      </c>
      <c r="AQ86" t="s">
        <v>9</v>
      </c>
      <c r="AR86" t="s">
        <v>9</v>
      </c>
      <c r="AS86" t="s">
        <v>9</v>
      </c>
      <c r="AT86" t="s">
        <v>9</v>
      </c>
      <c r="AU86" t="s">
        <v>9</v>
      </c>
      <c r="AV86" t="s">
        <v>9</v>
      </c>
      <c r="AW86" t="s">
        <v>9</v>
      </c>
      <c r="AX86" t="s">
        <v>9</v>
      </c>
      <c r="AY86" t="s">
        <v>9</v>
      </c>
      <c r="AZ86" t="s">
        <v>9</v>
      </c>
      <c r="BA86" t="s">
        <v>9</v>
      </c>
      <c r="BB86" t="s">
        <v>9</v>
      </c>
      <c r="BC86" t="s">
        <v>9</v>
      </c>
      <c r="BD86" t="s">
        <v>9</v>
      </c>
      <c r="BE86" t="s">
        <v>9</v>
      </c>
      <c r="BF86" t="s">
        <v>9</v>
      </c>
      <c r="BG86" t="s">
        <v>9</v>
      </c>
      <c r="BH86" t="s">
        <v>9</v>
      </c>
      <c r="BI86" t="s">
        <v>9</v>
      </c>
      <c r="BJ86" t="s">
        <v>9</v>
      </c>
    </row>
    <row r="87" spans="1:62">
      <c r="A87" t="s">
        <v>366</v>
      </c>
      <c r="B87" s="133" t="s">
        <v>591</v>
      </c>
      <c r="C87" s="133" t="str">
        <f>IF(COUNTIF(Measure_62443_2_1[[#This Row],[G 0.13 Interception of Compromising Interference Signals]:[IND.3.2.3 Insufficient regulations for the use of OT remote maintenance access]],"X")&gt;0,"X","")</f>
        <v/>
      </c>
      <c r="D87" t="s">
        <v>9</v>
      </c>
      <c r="E87" t="s">
        <v>9</v>
      </c>
      <c r="F87" t="s">
        <v>9</v>
      </c>
      <c r="G87" t="s">
        <v>9</v>
      </c>
      <c r="H87" t="s">
        <v>9</v>
      </c>
      <c r="I87" t="s">
        <v>9</v>
      </c>
      <c r="J87" t="s">
        <v>9</v>
      </c>
      <c r="K87" t="s">
        <v>9</v>
      </c>
      <c r="L87" t="s">
        <v>9</v>
      </c>
      <c r="M87" t="s">
        <v>9</v>
      </c>
      <c r="N87" t="s">
        <v>9</v>
      </c>
      <c r="O87" t="s">
        <v>9</v>
      </c>
      <c r="P87" t="s">
        <v>9</v>
      </c>
      <c r="Q87" t="s">
        <v>9</v>
      </c>
      <c r="R87" t="s">
        <v>9</v>
      </c>
      <c r="S87" t="s">
        <v>9</v>
      </c>
      <c r="T87" t="s">
        <v>9</v>
      </c>
      <c r="U87" t="s">
        <v>9</v>
      </c>
      <c r="V87" t="s">
        <v>9</v>
      </c>
      <c r="W87" t="s">
        <v>9</v>
      </c>
      <c r="X87" t="s">
        <v>9</v>
      </c>
      <c r="Y87" t="s">
        <v>9</v>
      </c>
      <c r="Z87" t="s">
        <v>9</v>
      </c>
      <c r="AA87" t="s">
        <v>9</v>
      </c>
      <c r="AB87" t="s">
        <v>9</v>
      </c>
      <c r="AC87" t="s">
        <v>9</v>
      </c>
      <c r="AD87" t="s">
        <v>9</v>
      </c>
      <c r="AE87" t="s">
        <v>9</v>
      </c>
      <c r="AF87" t="s">
        <v>9</v>
      </c>
      <c r="AG87" t="s">
        <v>9</v>
      </c>
      <c r="AH87" t="s">
        <v>9</v>
      </c>
      <c r="AI87" t="s">
        <v>9</v>
      </c>
      <c r="AJ87" t="s">
        <v>9</v>
      </c>
      <c r="AK87" t="s">
        <v>9</v>
      </c>
      <c r="AL87" t="s">
        <v>9</v>
      </c>
      <c r="AM87" t="s">
        <v>9</v>
      </c>
      <c r="AN87" t="s">
        <v>9</v>
      </c>
      <c r="AO87" t="s">
        <v>9</v>
      </c>
      <c r="AP87" t="s">
        <v>9</v>
      </c>
      <c r="AQ87" t="s">
        <v>9</v>
      </c>
      <c r="AR87" t="s">
        <v>9</v>
      </c>
      <c r="AS87" t="s">
        <v>9</v>
      </c>
      <c r="AT87" t="s">
        <v>9</v>
      </c>
      <c r="AU87" t="s">
        <v>9</v>
      </c>
      <c r="AV87" t="s">
        <v>9</v>
      </c>
      <c r="AW87" t="s">
        <v>9</v>
      </c>
      <c r="AX87" t="s">
        <v>9</v>
      </c>
      <c r="AY87" t="s">
        <v>9</v>
      </c>
      <c r="AZ87" t="s">
        <v>9</v>
      </c>
      <c r="BA87" t="s">
        <v>9</v>
      </c>
      <c r="BB87" t="s">
        <v>9</v>
      </c>
      <c r="BC87" t="s">
        <v>9</v>
      </c>
      <c r="BD87" t="s">
        <v>9</v>
      </c>
      <c r="BE87" t="s">
        <v>9</v>
      </c>
      <c r="BF87" t="s">
        <v>9</v>
      </c>
      <c r="BG87" t="s">
        <v>9</v>
      </c>
      <c r="BH87" t="s">
        <v>9</v>
      </c>
      <c r="BI87" t="s">
        <v>9</v>
      </c>
      <c r="BJ87" t="s">
        <v>9</v>
      </c>
    </row>
    <row r="88" spans="1:62">
      <c r="A88" t="s">
        <v>367</v>
      </c>
      <c r="B88" s="133" t="s">
        <v>591</v>
      </c>
      <c r="C88" s="133" t="str">
        <f>IF(COUNTIF(Measure_62443_2_1[[#This Row],[G 0.13 Interception of Compromising Interference Signals]:[IND.3.2.3 Insufficient regulations for the use of OT remote maintenance access]],"X")&gt;0,"X","")</f>
        <v/>
      </c>
      <c r="D88" t="s">
        <v>9</v>
      </c>
      <c r="E88" t="s">
        <v>9</v>
      </c>
      <c r="F88" t="s">
        <v>9</v>
      </c>
      <c r="G88" t="s">
        <v>9</v>
      </c>
      <c r="H88" t="s">
        <v>9</v>
      </c>
      <c r="I88" t="s">
        <v>9</v>
      </c>
      <c r="J88" t="s">
        <v>9</v>
      </c>
      <c r="K88" t="s">
        <v>9</v>
      </c>
      <c r="L88" t="s">
        <v>9</v>
      </c>
      <c r="M88" t="s">
        <v>9</v>
      </c>
      <c r="N88" t="s">
        <v>9</v>
      </c>
      <c r="O88" t="s">
        <v>9</v>
      </c>
      <c r="P88" t="s">
        <v>9</v>
      </c>
      <c r="Q88" t="s">
        <v>9</v>
      </c>
      <c r="R88" t="s">
        <v>9</v>
      </c>
      <c r="S88" t="s">
        <v>9</v>
      </c>
      <c r="T88" t="s">
        <v>9</v>
      </c>
      <c r="U88" t="s">
        <v>9</v>
      </c>
      <c r="V88" t="s">
        <v>9</v>
      </c>
      <c r="W88" t="s">
        <v>9</v>
      </c>
      <c r="X88" t="s">
        <v>9</v>
      </c>
      <c r="Y88" t="s">
        <v>9</v>
      </c>
      <c r="Z88" t="s">
        <v>9</v>
      </c>
      <c r="AA88" t="s">
        <v>9</v>
      </c>
      <c r="AB88" t="s">
        <v>9</v>
      </c>
      <c r="AC88" t="s">
        <v>9</v>
      </c>
      <c r="AD88" t="s">
        <v>9</v>
      </c>
      <c r="AE88" t="s">
        <v>9</v>
      </c>
      <c r="AF88" t="s">
        <v>9</v>
      </c>
      <c r="AG88" t="s">
        <v>9</v>
      </c>
      <c r="AH88" t="s">
        <v>9</v>
      </c>
      <c r="AI88" t="s">
        <v>9</v>
      </c>
      <c r="AJ88" t="s">
        <v>9</v>
      </c>
      <c r="AK88" t="s">
        <v>9</v>
      </c>
      <c r="AL88" t="s">
        <v>9</v>
      </c>
      <c r="AM88" t="s">
        <v>9</v>
      </c>
      <c r="AN88" t="s">
        <v>9</v>
      </c>
      <c r="AO88" t="s">
        <v>9</v>
      </c>
      <c r="AP88" t="s">
        <v>9</v>
      </c>
      <c r="AQ88" t="s">
        <v>9</v>
      </c>
      <c r="AR88" t="s">
        <v>9</v>
      </c>
      <c r="AS88" t="s">
        <v>9</v>
      </c>
      <c r="AT88" t="s">
        <v>9</v>
      </c>
      <c r="AU88" t="s">
        <v>9</v>
      </c>
      <c r="AV88" t="s">
        <v>9</v>
      </c>
      <c r="AW88" t="s">
        <v>9</v>
      </c>
      <c r="AX88" t="s">
        <v>9</v>
      </c>
      <c r="AY88" t="s">
        <v>9</v>
      </c>
      <c r="AZ88" t="s">
        <v>9</v>
      </c>
      <c r="BA88" t="s">
        <v>9</v>
      </c>
      <c r="BB88" t="s">
        <v>9</v>
      </c>
      <c r="BC88" t="s">
        <v>9</v>
      </c>
      <c r="BD88" t="s">
        <v>9</v>
      </c>
      <c r="BE88" t="s">
        <v>9</v>
      </c>
      <c r="BF88" t="s">
        <v>9</v>
      </c>
      <c r="BG88" t="s">
        <v>9</v>
      </c>
      <c r="BH88" t="s">
        <v>9</v>
      </c>
      <c r="BI88" t="s">
        <v>9</v>
      </c>
      <c r="BJ88" t="s">
        <v>9</v>
      </c>
    </row>
    <row r="89" spans="1:62">
      <c r="A89" t="s">
        <v>368</v>
      </c>
      <c r="B89" s="133" t="s">
        <v>591</v>
      </c>
      <c r="C89" s="133" t="str">
        <f>IF(COUNTIF(Measure_62443_2_1[[#This Row],[G 0.13 Interception of Compromising Interference Signals]:[IND.3.2.3 Insufficient regulations for the use of OT remote maintenance access]],"X")&gt;0,"X","")</f>
        <v/>
      </c>
      <c r="D89" t="s">
        <v>9</v>
      </c>
      <c r="E89" t="s">
        <v>9</v>
      </c>
      <c r="F89" t="s">
        <v>9</v>
      </c>
      <c r="G89" t="s">
        <v>9</v>
      </c>
      <c r="H89" t="s">
        <v>9</v>
      </c>
      <c r="I89" t="s">
        <v>9</v>
      </c>
      <c r="J89" t="s">
        <v>9</v>
      </c>
      <c r="K89" t="s">
        <v>9</v>
      </c>
      <c r="L89" t="s">
        <v>9</v>
      </c>
      <c r="M89" t="s">
        <v>9</v>
      </c>
      <c r="N89" t="s">
        <v>9</v>
      </c>
      <c r="O89" t="s">
        <v>9</v>
      </c>
      <c r="P89" t="s">
        <v>9</v>
      </c>
      <c r="Q89" t="s">
        <v>9</v>
      </c>
      <c r="R89" t="s">
        <v>9</v>
      </c>
      <c r="S89" t="s">
        <v>9</v>
      </c>
      <c r="T89" t="s">
        <v>9</v>
      </c>
      <c r="U89" t="s">
        <v>9</v>
      </c>
      <c r="V89" t="s">
        <v>9</v>
      </c>
      <c r="W89" t="s">
        <v>9</v>
      </c>
      <c r="X89" t="s">
        <v>9</v>
      </c>
      <c r="Y89" t="s">
        <v>9</v>
      </c>
      <c r="Z89" t="s">
        <v>9</v>
      </c>
      <c r="AA89" t="s">
        <v>9</v>
      </c>
      <c r="AB89" t="s">
        <v>9</v>
      </c>
      <c r="AC89" t="s">
        <v>9</v>
      </c>
      <c r="AD89" t="s">
        <v>9</v>
      </c>
      <c r="AE89" t="s">
        <v>9</v>
      </c>
      <c r="AF89" t="s">
        <v>9</v>
      </c>
      <c r="AG89" t="s">
        <v>9</v>
      </c>
      <c r="AH89" t="s">
        <v>9</v>
      </c>
      <c r="AI89" t="s">
        <v>9</v>
      </c>
      <c r="AJ89" t="s">
        <v>9</v>
      </c>
      <c r="AK89" t="s">
        <v>9</v>
      </c>
      <c r="AL89" t="s">
        <v>9</v>
      </c>
      <c r="AM89" t="s">
        <v>9</v>
      </c>
      <c r="AN89" t="s">
        <v>9</v>
      </c>
      <c r="AO89" t="s">
        <v>9</v>
      </c>
      <c r="AP89" t="s">
        <v>9</v>
      </c>
      <c r="AQ89" t="s">
        <v>9</v>
      </c>
      <c r="AR89" t="s">
        <v>9</v>
      </c>
      <c r="AS89" t="s">
        <v>9</v>
      </c>
      <c r="AT89" t="s">
        <v>9</v>
      </c>
      <c r="AU89" t="s">
        <v>9</v>
      </c>
      <c r="AV89" t="s">
        <v>9</v>
      </c>
      <c r="AW89" t="s">
        <v>9</v>
      </c>
      <c r="AX89" t="s">
        <v>9</v>
      </c>
      <c r="AY89" t="s">
        <v>9</v>
      </c>
      <c r="AZ89" t="s">
        <v>9</v>
      </c>
      <c r="BA89" t="s">
        <v>9</v>
      </c>
      <c r="BB89" t="s">
        <v>9</v>
      </c>
      <c r="BC89" t="s">
        <v>9</v>
      </c>
      <c r="BD89" t="s">
        <v>9</v>
      </c>
      <c r="BE89" t="s">
        <v>9</v>
      </c>
      <c r="BF89" t="s">
        <v>9</v>
      </c>
      <c r="BG89" t="s">
        <v>9</v>
      </c>
      <c r="BH89" t="s">
        <v>9</v>
      </c>
      <c r="BI89" t="s">
        <v>9</v>
      </c>
      <c r="BJ89" t="s">
        <v>9</v>
      </c>
    </row>
    <row r="90" spans="1:62">
      <c r="A90" t="s">
        <v>369</v>
      </c>
      <c r="B90" s="133" t="s">
        <v>591</v>
      </c>
      <c r="C90" s="133" t="str">
        <f>IF(COUNTIF(Measure_62443_2_1[[#This Row],[G 0.13 Interception of Compromising Interference Signals]:[IND.3.2.3 Insufficient regulations for the use of OT remote maintenance access]],"X")&gt;0,"X","")</f>
        <v/>
      </c>
      <c r="D90" t="s">
        <v>9</v>
      </c>
      <c r="E90" t="s">
        <v>9</v>
      </c>
      <c r="F90" t="s">
        <v>9</v>
      </c>
      <c r="G90" t="s">
        <v>9</v>
      </c>
      <c r="H90" t="s">
        <v>9</v>
      </c>
      <c r="I90" t="s">
        <v>9</v>
      </c>
      <c r="J90" t="s">
        <v>9</v>
      </c>
      <c r="K90" t="s">
        <v>9</v>
      </c>
      <c r="L90" t="s">
        <v>9</v>
      </c>
      <c r="M90" t="s">
        <v>9</v>
      </c>
      <c r="N90" t="s">
        <v>9</v>
      </c>
      <c r="O90" t="s">
        <v>9</v>
      </c>
      <c r="P90" t="s">
        <v>9</v>
      </c>
      <c r="Q90" t="s">
        <v>9</v>
      </c>
      <c r="R90" t="s">
        <v>9</v>
      </c>
      <c r="S90" t="s">
        <v>9</v>
      </c>
      <c r="T90" t="s">
        <v>9</v>
      </c>
      <c r="U90" t="s">
        <v>9</v>
      </c>
      <c r="V90" t="s">
        <v>9</v>
      </c>
      <c r="W90" t="s">
        <v>9</v>
      </c>
      <c r="X90" t="s">
        <v>9</v>
      </c>
      <c r="Y90" t="s">
        <v>9</v>
      </c>
      <c r="Z90" t="s">
        <v>9</v>
      </c>
      <c r="AA90" t="s">
        <v>9</v>
      </c>
      <c r="AB90" t="s">
        <v>9</v>
      </c>
      <c r="AC90" t="s">
        <v>9</v>
      </c>
      <c r="AD90" t="s">
        <v>9</v>
      </c>
      <c r="AE90" t="s">
        <v>9</v>
      </c>
      <c r="AF90" t="s">
        <v>9</v>
      </c>
      <c r="AG90" t="s">
        <v>9</v>
      </c>
      <c r="AH90" t="s">
        <v>9</v>
      </c>
      <c r="AI90" t="s">
        <v>9</v>
      </c>
      <c r="AJ90" t="s">
        <v>9</v>
      </c>
      <c r="AK90" t="s">
        <v>9</v>
      </c>
      <c r="AL90" t="s">
        <v>9</v>
      </c>
      <c r="AM90" t="s">
        <v>9</v>
      </c>
      <c r="AN90" t="s">
        <v>9</v>
      </c>
      <c r="AO90" t="s">
        <v>9</v>
      </c>
      <c r="AP90" t="s">
        <v>9</v>
      </c>
      <c r="AQ90" t="s">
        <v>9</v>
      </c>
      <c r="AR90" t="s">
        <v>9</v>
      </c>
      <c r="AS90" t="s">
        <v>9</v>
      </c>
      <c r="AT90" t="s">
        <v>9</v>
      </c>
      <c r="AU90" t="s">
        <v>9</v>
      </c>
      <c r="AV90" t="s">
        <v>9</v>
      </c>
      <c r="AW90" t="s">
        <v>9</v>
      </c>
      <c r="AX90" t="s">
        <v>9</v>
      </c>
      <c r="AY90" t="s">
        <v>9</v>
      </c>
      <c r="AZ90" t="s">
        <v>9</v>
      </c>
      <c r="BA90" t="s">
        <v>9</v>
      </c>
      <c r="BB90" t="s">
        <v>9</v>
      </c>
      <c r="BC90" t="s">
        <v>9</v>
      </c>
      <c r="BD90" t="s">
        <v>9</v>
      </c>
      <c r="BE90" t="s">
        <v>9</v>
      </c>
      <c r="BF90" t="s">
        <v>9</v>
      </c>
      <c r="BG90" t="s">
        <v>9</v>
      </c>
      <c r="BH90" t="s">
        <v>9</v>
      </c>
      <c r="BI90" t="s">
        <v>9</v>
      </c>
      <c r="BJ90" t="s">
        <v>9</v>
      </c>
    </row>
    <row r="91" spans="1:62">
      <c r="A91" t="s">
        <v>370</v>
      </c>
      <c r="B91" s="133" t="s">
        <v>591</v>
      </c>
      <c r="C91" s="133" t="str">
        <f>IF(COUNTIF(Measure_62443_2_1[[#This Row],[G 0.13 Interception of Compromising Interference Signals]:[IND.3.2.3 Insufficient regulations for the use of OT remote maintenance access]],"X")&gt;0,"X","")</f>
        <v/>
      </c>
      <c r="D91" t="s">
        <v>9</v>
      </c>
      <c r="E91" t="s">
        <v>9</v>
      </c>
      <c r="F91" t="s">
        <v>9</v>
      </c>
      <c r="G91" t="s">
        <v>9</v>
      </c>
      <c r="H91" t="s">
        <v>9</v>
      </c>
      <c r="I91" t="s">
        <v>9</v>
      </c>
      <c r="J91" t="s">
        <v>9</v>
      </c>
      <c r="K91" t="s">
        <v>9</v>
      </c>
      <c r="L91" t="s">
        <v>9</v>
      </c>
      <c r="M91" t="s">
        <v>9</v>
      </c>
      <c r="N91" t="s">
        <v>9</v>
      </c>
      <c r="O91" t="s">
        <v>9</v>
      </c>
      <c r="P91" t="s">
        <v>9</v>
      </c>
      <c r="Q91" t="s">
        <v>9</v>
      </c>
      <c r="R91" t="s">
        <v>9</v>
      </c>
      <c r="S91" t="s">
        <v>9</v>
      </c>
      <c r="T91" t="s">
        <v>9</v>
      </c>
      <c r="U91" t="s">
        <v>9</v>
      </c>
      <c r="V91" t="s">
        <v>9</v>
      </c>
      <c r="W91" t="s">
        <v>9</v>
      </c>
      <c r="X91" t="s">
        <v>9</v>
      </c>
      <c r="Y91" t="s">
        <v>9</v>
      </c>
      <c r="Z91" t="s">
        <v>9</v>
      </c>
      <c r="AA91" t="s">
        <v>9</v>
      </c>
      <c r="AB91" t="s">
        <v>9</v>
      </c>
      <c r="AC91" t="s">
        <v>9</v>
      </c>
      <c r="AD91" t="s">
        <v>9</v>
      </c>
      <c r="AE91" t="s">
        <v>9</v>
      </c>
      <c r="AF91" t="s">
        <v>9</v>
      </c>
      <c r="AG91" t="s">
        <v>9</v>
      </c>
      <c r="AH91" t="s">
        <v>9</v>
      </c>
      <c r="AI91" t="s">
        <v>9</v>
      </c>
      <c r="AJ91" t="s">
        <v>9</v>
      </c>
      <c r="AK91" t="s">
        <v>9</v>
      </c>
      <c r="AL91" t="s">
        <v>9</v>
      </c>
      <c r="AM91" t="s">
        <v>9</v>
      </c>
      <c r="AN91" t="s">
        <v>9</v>
      </c>
      <c r="AO91" t="s">
        <v>9</v>
      </c>
      <c r="AP91" t="s">
        <v>9</v>
      </c>
      <c r="AQ91" t="s">
        <v>9</v>
      </c>
      <c r="AR91" t="s">
        <v>9</v>
      </c>
      <c r="AS91" t="s">
        <v>9</v>
      </c>
      <c r="AT91" t="s">
        <v>9</v>
      </c>
      <c r="AU91" t="s">
        <v>9</v>
      </c>
      <c r="AV91" t="s">
        <v>9</v>
      </c>
      <c r="AW91" t="s">
        <v>9</v>
      </c>
      <c r="AX91" t="s">
        <v>9</v>
      </c>
      <c r="AY91" t="s">
        <v>9</v>
      </c>
      <c r="AZ91" t="s">
        <v>9</v>
      </c>
      <c r="BA91" t="s">
        <v>9</v>
      </c>
      <c r="BB91" t="s">
        <v>9</v>
      </c>
      <c r="BC91" t="s">
        <v>9</v>
      </c>
      <c r="BD91" t="s">
        <v>9</v>
      </c>
      <c r="BE91" t="s">
        <v>9</v>
      </c>
      <c r="BF91" t="s">
        <v>9</v>
      </c>
      <c r="BG91" t="s">
        <v>9</v>
      </c>
      <c r="BH91" t="s">
        <v>9</v>
      </c>
      <c r="BI91" t="s">
        <v>9</v>
      </c>
      <c r="BJ91" t="s">
        <v>9</v>
      </c>
    </row>
    <row r="92" spans="1:62">
      <c r="A92" t="s">
        <v>371</v>
      </c>
      <c r="B92" s="133" t="s">
        <v>591</v>
      </c>
      <c r="C92" s="133" t="str">
        <f>IF(COUNTIF(Measure_62443_2_1[[#This Row],[G 0.13 Interception of Compromising Interference Signals]:[IND.3.2.3 Insufficient regulations for the use of OT remote maintenance access]],"X")&gt;0,"X","")</f>
        <v/>
      </c>
      <c r="D92" t="s">
        <v>9</v>
      </c>
      <c r="E92" t="s">
        <v>9</v>
      </c>
      <c r="F92" t="s">
        <v>9</v>
      </c>
      <c r="G92" t="s">
        <v>9</v>
      </c>
      <c r="H92" t="s">
        <v>9</v>
      </c>
      <c r="I92" t="s">
        <v>9</v>
      </c>
      <c r="J92" t="s">
        <v>9</v>
      </c>
      <c r="K92" t="s">
        <v>9</v>
      </c>
      <c r="L92" t="s">
        <v>9</v>
      </c>
      <c r="M92" t="s">
        <v>9</v>
      </c>
      <c r="N92" t="s">
        <v>9</v>
      </c>
      <c r="O92" t="s">
        <v>9</v>
      </c>
      <c r="P92" t="s">
        <v>9</v>
      </c>
      <c r="Q92" t="s">
        <v>9</v>
      </c>
      <c r="R92" t="s">
        <v>9</v>
      </c>
      <c r="S92" t="s">
        <v>9</v>
      </c>
      <c r="T92" t="s">
        <v>9</v>
      </c>
      <c r="U92" t="s">
        <v>9</v>
      </c>
      <c r="V92" t="s">
        <v>9</v>
      </c>
      <c r="W92" t="s">
        <v>9</v>
      </c>
      <c r="X92" t="s">
        <v>9</v>
      </c>
      <c r="Y92" t="s">
        <v>9</v>
      </c>
      <c r="Z92" t="s">
        <v>9</v>
      </c>
      <c r="AA92" t="s">
        <v>9</v>
      </c>
      <c r="AB92" t="s">
        <v>9</v>
      </c>
      <c r="AC92" t="s">
        <v>9</v>
      </c>
      <c r="AD92" t="s">
        <v>9</v>
      </c>
      <c r="AE92" t="s">
        <v>9</v>
      </c>
      <c r="AF92" t="s">
        <v>9</v>
      </c>
      <c r="AG92" t="s">
        <v>9</v>
      </c>
      <c r="AH92" t="s">
        <v>9</v>
      </c>
      <c r="AI92" t="s">
        <v>9</v>
      </c>
      <c r="AJ92" t="s">
        <v>9</v>
      </c>
      <c r="AK92" t="s">
        <v>9</v>
      </c>
      <c r="AL92" t="s">
        <v>9</v>
      </c>
      <c r="AM92" t="s">
        <v>9</v>
      </c>
      <c r="AN92" t="s">
        <v>9</v>
      </c>
      <c r="AO92" t="s">
        <v>9</v>
      </c>
      <c r="AP92" t="s">
        <v>9</v>
      </c>
      <c r="AQ92" t="s">
        <v>9</v>
      </c>
      <c r="AR92" t="s">
        <v>9</v>
      </c>
      <c r="AS92" t="s">
        <v>9</v>
      </c>
      <c r="AT92" t="s">
        <v>9</v>
      </c>
      <c r="AU92" t="s">
        <v>9</v>
      </c>
      <c r="AV92" t="s">
        <v>9</v>
      </c>
      <c r="AW92" t="s">
        <v>9</v>
      </c>
      <c r="AX92" t="s">
        <v>9</v>
      </c>
      <c r="AY92" t="s">
        <v>9</v>
      </c>
      <c r="AZ92" t="s">
        <v>9</v>
      </c>
      <c r="BA92" t="s">
        <v>9</v>
      </c>
      <c r="BB92" t="s">
        <v>9</v>
      </c>
      <c r="BC92" t="s">
        <v>9</v>
      </c>
      <c r="BD92" t="s">
        <v>9</v>
      </c>
      <c r="BE92" t="s">
        <v>9</v>
      </c>
      <c r="BF92" t="s">
        <v>9</v>
      </c>
      <c r="BG92" t="s">
        <v>9</v>
      </c>
      <c r="BH92" t="s">
        <v>9</v>
      </c>
      <c r="BI92" t="s">
        <v>9</v>
      </c>
      <c r="BJ92" t="s">
        <v>9</v>
      </c>
    </row>
  </sheetData>
  <mergeCells count="1">
    <mergeCell ref="A1:T1"/>
  </mergeCells>
  <dataValidations count="1">
    <dataValidation type="list" allowBlank="1" showInputMessage="1" showErrorMessage="1" sqref="D4:BJ92" xr:uid="{00000000-0002-0000-0600-000000000000}">
      <formula1>"-,X"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20">
    <tabColor rgb="FFFF0000"/>
  </sheetPr>
  <dimension ref="A1:AH64"/>
  <sheetViews>
    <sheetView zoomScaleNormal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AH5" sqref="AH5"/>
    </sheetView>
  </sheetViews>
  <sheetFormatPr baseColWidth="10" defaultColWidth="11.5546875" defaultRowHeight="14.4"/>
  <cols>
    <col min="1" max="1" width="40.5546875" style="117" customWidth="1"/>
    <col min="2" max="2" width="11" style="117" bestFit="1" customWidth="1"/>
    <col min="3" max="3" width="24.44140625" style="118" customWidth="1"/>
    <col min="4" max="4" width="26.6640625" style="118" customWidth="1"/>
    <col min="5" max="6" width="33.33203125" style="153" customWidth="1"/>
    <col min="7" max="7" width="11.6640625" style="119" customWidth="1"/>
    <col min="8" max="8" width="11.6640625" style="194" customWidth="1"/>
    <col min="9" max="10" width="15.6640625" style="120" customWidth="1"/>
    <col min="11" max="11" width="13.33203125" style="120" customWidth="1"/>
    <col min="12" max="13" width="8.6640625" style="121" customWidth="1"/>
    <col min="14" max="14" width="14" style="120" customWidth="1"/>
    <col min="15" max="15" width="12.6640625" style="122" customWidth="1"/>
    <col min="16" max="17" width="33.33203125" style="123" customWidth="1"/>
    <col min="18" max="18" width="11.6640625" style="124" customWidth="1"/>
    <col min="19" max="19" width="15.6640625" style="125" customWidth="1"/>
    <col min="20" max="20" width="13.33203125" style="125" customWidth="1"/>
    <col min="21" max="21" width="8.6640625" style="125" customWidth="1"/>
    <col min="22" max="22" width="15.6640625" style="125" customWidth="1"/>
    <col min="23" max="23" width="12.6640625" style="126" customWidth="1"/>
    <col min="24" max="25" width="33.33203125" style="127" customWidth="1"/>
    <col min="26" max="26" width="33.33203125" style="139" customWidth="1"/>
    <col min="27" max="27" width="11.6640625" style="128" customWidth="1"/>
    <col min="28" max="28" width="15.6640625" style="129" customWidth="1"/>
    <col min="29" max="29" width="13.33203125" style="129" customWidth="1"/>
    <col min="30" max="30" width="8.6640625" style="129" customWidth="1"/>
    <col min="31" max="31" width="12.6640625" style="130" customWidth="1"/>
    <col min="32" max="32" width="12.6640625" style="131" customWidth="1"/>
    <col min="33" max="33" width="27.109375" style="132" customWidth="1"/>
    <col min="34" max="34" width="67.44140625" style="94" customWidth="1"/>
    <col min="35" max="36" width="11.5546875" style="133" customWidth="1"/>
    <col min="37" max="16384" width="11.5546875" style="133"/>
  </cols>
  <sheetData>
    <row r="1" spans="1:34" ht="16.2" thickBot="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138"/>
      <c r="AA1" s="92"/>
      <c r="AB1" s="92"/>
      <c r="AC1" s="92"/>
      <c r="AD1" s="92"/>
      <c r="AE1" s="92"/>
      <c r="AF1" s="93"/>
      <c r="AG1" s="93"/>
    </row>
    <row r="2" spans="1:34" ht="15" thickBot="1">
      <c r="A2" s="86" t="s">
        <v>372</v>
      </c>
      <c r="B2" s="87" t="str">
        <f>'SL-T'!B18</f>
        <v>Low</v>
      </c>
      <c r="C2" s="88"/>
      <c r="D2" s="88"/>
      <c r="E2" s="240" t="s">
        <v>373</v>
      </c>
      <c r="F2" s="240"/>
      <c r="G2" s="231" t="s">
        <v>374</v>
      </c>
      <c r="H2" s="232"/>
      <c r="I2" s="233"/>
      <c r="J2" s="233"/>
      <c r="K2" s="233"/>
      <c r="L2" s="234"/>
      <c r="M2" s="234"/>
      <c r="N2" s="233"/>
      <c r="O2" s="89"/>
      <c r="P2" s="90"/>
      <c r="Q2" s="90"/>
      <c r="R2" s="91"/>
      <c r="S2" s="91"/>
      <c r="T2" s="91"/>
      <c r="U2" s="91"/>
      <c r="V2" s="91"/>
      <c r="W2" s="91"/>
      <c r="X2" s="237" t="s">
        <v>375</v>
      </c>
      <c r="Y2" s="238"/>
      <c r="Z2" s="138"/>
      <c r="AA2" s="92"/>
      <c r="AB2" s="92"/>
      <c r="AC2" s="92"/>
      <c r="AD2" s="92"/>
      <c r="AE2" s="92"/>
      <c r="AF2" s="93"/>
      <c r="AG2" s="93"/>
    </row>
    <row r="3" spans="1:34" ht="15" thickBot="1">
      <c r="A3" s="88"/>
      <c r="B3" s="88"/>
      <c r="C3" s="88"/>
      <c r="D3" s="88"/>
      <c r="E3" s="240"/>
      <c r="F3" s="240"/>
      <c r="G3" s="231"/>
      <c r="H3" s="232"/>
      <c r="I3" s="235"/>
      <c r="J3" s="235"/>
      <c r="K3" s="235"/>
      <c r="L3" s="236"/>
      <c r="M3" s="236"/>
      <c r="N3" s="235"/>
      <c r="O3" s="89"/>
      <c r="P3" s="90"/>
      <c r="Q3" s="90"/>
      <c r="R3" s="91"/>
      <c r="S3" s="91"/>
      <c r="T3" s="91"/>
      <c r="U3" s="91"/>
      <c r="V3" s="91"/>
      <c r="W3" s="91"/>
      <c r="X3" s="237"/>
      <c r="Y3" s="239"/>
      <c r="Z3" s="138"/>
      <c r="AA3" s="92"/>
      <c r="AB3" s="92"/>
      <c r="AC3" s="92"/>
      <c r="AD3" s="92"/>
      <c r="AE3" s="92"/>
      <c r="AF3" s="93"/>
      <c r="AG3" s="93"/>
    </row>
    <row r="4" spans="1:34" ht="15" thickBot="1">
      <c r="A4" s="225" t="s">
        <v>37</v>
      </c>
      <c r="B4" s="213"/>
      <c r="C4" s="213"/>
      <c r="D4" s="213"/>
      <c r="E4" s="241"/>
      <c r="F4" s="241"/>
      <c r="G4" s="213"/>
      <c r="H4" s="213"/>
      <c r="I4" s="213"/>
      <c r="J4" s="213"/>
      <c r="K4" s="213"/>
      <c r="L4" s="213"/>
      <c r="M4" s="213"/>
      <c r="N4" s="213"/>
      <c r="O4" s="95" t="s">
        <v>376</v>
      </c>
      <c r="P4" s="230" t="s">
        <v>377</v>
      </c>
      <c r="Q4" s="213"/>
      <c r="R4" s="226" t="s">
        <v>378</v>
      </c>
      <c r="S4" s="227"/>
      <c r="T4" s="227"/>
      <c r="U4" s="227"/>
      <c r="V4" s="228"/>
      <c r="W4" s="96" t="s">
        <v>376</v>
      </c>
      <c r="X4" s="213"/>
      <c r="Y4" s="213"/>
      <c r="AA4" s="229" t="s">
        <v>379</v>
      </c>
      <c r="AB4" s="227"/>
      <c r="AC4" s="227"/>
      <c r="AD4" s="227"/>
      <c r="AE4" s="227"/>
      <c r="AF4" s="224"/>
      <c r="AG4" s="224"/>
    </row>
    <row r="5" spans="1:34" s="85" customFormat="1" ht="43.8" thickBot="1">
      <c r="A5" s="74" t="s">
        <v>380</v>
      </c>
      <c r="B5" s="75" t="s">
        <v>54</v>
      </c>
      <c r="C5" s="75" t="s">
        <v>381</v>
      </c>
      <c r="D5" s="75" t="s">
        <v>382</v>
      </c>
      <c r="E5" s="150" t="s">
        <v>383</v>
      </c>
      <c r="F5" s="150" t="s">
        <v>384</v>
      </c>
      <c r="G5" s="76" t="s">
        <v>385</v>
      </c>
      <c r="H5" s="76" t="s">
        <v>386</v>
      </c>
      <c r="I5" s="76" t="s">
        <v>387</v>
      </c>
      <c r="J5" s="76" t="s">
        <v>388</v>
      </c>
      <c r="K5" s="76" t="s">
        <v>389</v>
      </c>
      <c r="L5" s="77" t="s">
        <v>390</v>
      </c>
      <c r="M5" s="77" t="s">
        <v>391</v>
      </c>
      <c r="N5" s="76" t="s">
        <v>392</v>
      </c>
      <c r="O5" s="78" t="s">
        <v>393</v>
      </c>
      <c r="P5" s="79" t="s">
        <v>394</v>
      </c>
      <c r="Q5" s="79" t="s">
        <v>395</v>
      </c>
      <c r="R5" s="80" t="s">
        <v>396</v>
      </c>
      <c r="S5" s="80" t="s">
        <v>397</v>
      </c>
      <c r="T5" s="80" t="s">
        <v>398</v>
      </c>
      <c r="U5" s="80" t="s">
        <v>399</v>
      </c>
      <c r="V5" s="80" t="s">
        <v>400</v>
      </c>
      <c r="W5" s="81" t="s">
        <v>401</v>
      </c>
      <c r="X5" s="82" t="s">
        <v>402</v>
      </c>
      <c r="Y5" s="82" t="s">
        <v>403</v>
      </c>
      <c r="Z5" s="140" t="s">
        <v>404</v>
      </c>
      <c r="AA5" s="17" t="s">
        <v>405</v>
      </c>
      <c r="AB5" s="17" t="s">
        <v>406</v>
      </c>
      <c r="AC5" s="17" t="s">
        <v>407</v>
      </c>
      <c r="AD5" s="17" t="s">
        <v>408</v>
      </c>
      <c r="AE5" s="17" t="s">
        <v>409</v>
      </c>
      <c r="AF5" s="18" t="s">
        <v>410</v>
      </c>
      <c r="AG5" s="83" t="s">
        <v>411</v>
      </c>
      <c r="AH5" s="84" t="s">
        <v>412</v>
      </c>
    </row>
    <row r="6" spans="1:34" ht="28.8">
      <c r="A6" s="97" t="str">
        <f>Attacker_Threat_Zone[[#This Row],[Threat Name]]</f>
        <v>G 0.13 Interception of Compromising Interference Signals</v>
      </c>
      <c r="B6" s="97" t="str">
        <f>IF(ISBLANK(Attacker_Threat_Zone[[#This Row],[Relevance]]),"No",Attacker_Threat_Zone[[#This Row],[Relevance]])</f>
        <v>Yes</v>
      </c>
      <c r="C6" s="98"/>
      <c r="D6" s="98"/>
      <c r="E6" s="152" t="str">
        <f>VLOOKUP(Risk_Evaluation[[#This Row],[Threat Catalogue]],_3_3_OVERVIEW_PRE!$A$7:$B$66,2,FALSE)</f>
        <v/>
      </c>
      <c r="F6" s="151"/>
      <c r="G6" s="193">
        <f>IF(ISBLANK(Attacker_Threat_Zone[[#This Row],[Exposure]]),"",Attacker_Threat_Zone[[#This Row],[Exposure]])</f>
        <v>1</v>
      </c>
      <c r="H6" s="102"/>
      <c r="I6" s="193">
        <f>IF(ISBLANK(Attacker_Threat_Zone[[#This Row],[Vulnerability]]),"",Attacker_Threat_Zone[[#This Row],[Vulnerability]])</f>
        <v>2</v>
      </c>
      <c r="J6" s="102"/>
      <c r="K6" s="99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>2</v>
      </c>
      <c r="L6" s="28" t="str">
        <f>Attacker_Threat_Zone[[#This Row],[Impact
Max]]</f>
        <v>A</v>
      </c>
      <c r="M6" s="102"/>
      <c r="N6" s="99" t="str" cm="1">
        <f t="array" ref="N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Significant</v>
      </c>
      <c r="O6" s="99">
        <f>IF(OR('SL-T'!$B$18="",Risk_Evaluation[[#This Row],[Actual Risk - 
G-6b]]=""),0,VLOOKUP(Risk_Evaluation[[#This Row],[Actual Risk - 
G-6b]],_DATA!$H$3:$I$7,2,FALSE)-VLOOKUP('SL-T'!$B$18,_DATA!$H$3:$I$7,2,FALSE))</f>
        <v>2</v>
      </c>
      <c r="P6" s="100" t="str">
        <f>VLOOKUP(Risk_Evaluation[[#This Row],[Threat Catalogue]],_3_3_OVERVIEW_MITIGATING!$A$7:$B$66,2,FALSE)</f>
        <v/>
      </c>
      <c r="Q6" s="101"/>
      <c r="R6" s="102"/>
      <c r="S6" s="102"/>
      <c r="T6" s="103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" s="102"/>
      <c r="V6" s="103" t="str">
        <f t="array" ref="V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" s="103">
        <f>IF(OR('SL-T'!$B$18="",Risk_Evaluation[[#This Row],[Actual Risk - 
G-6d]]=""),0,VLOOKUP(Risk_Evaluation[[#This Row],[Actual Risk - 
G-6d]],_DATA!$H$3:$I$7,2,FALSE)-VLOOKUP('SL-T'!$B$18,_DATA!$H$3:$I$7,2,FALSE))</f>
        <v>0</v>
      </c>
      <c r="X6" s="137" t="str">
        <f>VLOOKUP(Risk_Evaluation[[#This Row],[Threat Catalogue]],_2_1_OVERVIEW!$A$7:$B$66,2,FALSE)</f>
        <v/>
      </c>
      <c r="Y6" s="104"/>
      <c r="Z6" s="141"/>
      <c r="AA6" s="30"/>
      <c r="AB6" s="30"/>
      <c r="AC6" s="105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" s="112"/>
      <c r="AE6" s="105" t="str">
        <f t="array" ref="AE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" s="106">
        <f>IF(OR('SL-T'!$B$18="",Risk_Evaluation[[#This Row],[Actual Risk - 
G-6f]]=""),0,VLOOKUP(Risk_Evaluation[[#This Row],[Actual Risk - 
G-6f]],_DATA!$H$3:$I$7,2,FALSE)-VLOOKUP('SL-T'!$B$18,_DATA!$H$3:$I$7,2,FALSE))</f>
        <v>0</v>
      </c>
      <c r="AG6" s="29"/>
      <c r="AH6" s="107"/>
    </row>
    <row r="7" spans="1:34">
      <c r="A7" s="108" t="str">
        <f>Attacker_Threat_Zone[[#This Row],[Threat Name]]</f>
        <v xml:space="preserve">G 0.14 Interception of Information / Espionage </v>
      </c>
      <c r="B7" s="97" t="str">
        <f>IF(ISBLANK(Attacker_Threat_Zone[[#This Row],[Relevance]]),"No",Attacker_Threat_Zone[[#This Row],[Relevance]])</f>
        <v>Yes</v>
      </c>
      <c r="C7" s="109"/>
      <c r="D7" s="109"/>
      <c r="E7" s="152" t="str">
        <f>VLOOKUP(Risk_Evaluation[[#This Row],[Threat Catalogue]],_3_3_OVERVIEW_PRE!$A$7:$B$66,2,FALSE)</f>
        <v/>
      </c>
      <c r="F7" s="151"/>
      <c r="G7" s="193">
        <f>IF(ISBLANK(Attacker_Threat_Zone[[#This Row],[Exposure]]),"",Attacker_Threat_Zone[[#This Row],[Exposure]])</f>
        <v>1</v>
      </c>
      <c r="H7" s="110"/>
      <c r="I7" s="193">
        <f>IF(ISBLANK(Attacker_Threat_Zone[[#This Row],[Vulnerability]]),"",Attacker_Threat_Zone[[#This Row],[Vulnerability]])</f>
        <v>3</v>
      </c>
      <c r="J7" s="110"/>
      <c r="K7" s="99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>3</v>
      </c>
      <c r="L7" s="28" t="str">
        <f>Attacker_Threat_Zone[[#This Row],[Impact
Max]]</f>
        <v>C</v>
      </c>
      <c r="M7" s="110"/>
      <c r="N7" s="99" t="str" cm="1">
        <f t="array" ref="N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Medium</v>
      </c>
      <c r="O7" s="99">
        <f>IF(OR('SL-T'!$B$18="",Risk_Evaluation[[#This Row],[Actual Risk - 
G-6b]]=""),0,VLOOKUP(Risk_Evaluation[[#This Row],[Actual Risk - 
G-6b]],_DATA!$H$3:$I$7,2,FALSE)-VLOOKUP('SL-T'!$B$18,_DATA!$H$3:$I$7,2,FALSE))</f>
        <v>1</v>
      </c>
      <c r="P7" s="100" t="str">
        <f>VLOOKUP(Risk_Evaluation[[#This Row],[Threat Catalogue]],_3_3_OVERVIEW_MITIGATING!$A$7:$B$66,2,FALSE)</f>
        <v/>
      </c>
      <c r="Q7" s="101"/>
      <c r="R7" s="110"/>
      <c r="S7" s="110"/>
      <c r="T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7" s="110"/>
      <c r="V7" s="111" t="str">
        <f t="array" ref="V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7" s="103">
        <f>IF(OR('SL-T'!$B$18="",Risk_Evaluation[[#This Row],[Actual Risk - 
G-6d]]=""),0,VLOOKUP(Risk_Evaluation[[#This Row],[Actual Risk - 
G-6d]],_DATA!$H$3:$I$7,2,FALSE)-VLOOKUP('SL-T'!$B$18,_DATA!$H$3:$I$7,2,FALSE))</f>
        <v>0</v>
      </c>
      <c r="X7" s="137" t="str">
        <f>VLOOKUP(Risk_Evaluation[[#This Row],[Threat Catalogue]],_2_1_OVERVIEW!$A$7:$B$66,2,FALSE)</f>
        <v/>
      </c>
      <c r="Y7" s="104"/>
      <c r="Z7" s="141"/>
      <c r="AA7" s="112"/>
      <c r="AB7" s="112"/>
      <c r="AC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7" s="112"/>
      <c r="AE7" s="113" t="str">
        <f t="array" ref="AE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7" s="106">
        <f>IF(OR('SL-T'!$B$18="",Risk_Evaluation[[#This Row],[Actual Risk - 
G-6f]]=""),0,VLOOKUP(Risk_Evaluation[[#This Row],[Actual Risk - 
G-6f]],_DATA!$H$3:$I$7,2,FALSE)-VLOOKUP('SL-T'!$B$18,_DATA!$H$3:$I$7,2,FALSE))</f>
        <v>0</v>
      </c>
      <c r="AG7" s="114"/>
      <c r="AH7" s="115"/>
    </row>
    <row r="8" spans="1:34">
      <c r="A8" s="108" t="str">
        <f>Attacker_Threat_Zone[[#This Row],[Threat Name]]</f>
        <v>G 0.15 Eavesdropping</v>
      </c>
      <c r="B8" s="97" t="str">
        <f>IF(ISBLANK(Attacker_Threat_Zone[[#This Row],[Relevance]]),"No",Attacker_Threat_Zone[[#This Row],[Relevance]])</f>
        <v>Yes</v>
      </c>
      <c r="C8" s="109"/>
      <c r="D8" s="109"/>
      <c r="E8" s="152" t="str">
        <f>VLOOKUP(Risk_Evaluation[[#This Row],[Threat Catalogue]],_3_3_OVERVIEW_PRE!$A$7:$B$66,2,FALSE)</f>
        <v/>
      </c>
      <c r="F8" s="151"/>
      <c r="G8" s="193">
        <f>IF(ISBLANK(Attacker_Threat_Zone[[#This Row],[Exposure]]),"",Attacker_Threat_Zone[[#This Row],[Exposure]])</f>
        <v>1</v>
      </c>
      <c r="H8" s="110"/>
      <c r="I8" s="193">
        <f>IF(ISBLANK(Attacker_Threat_Zone[[#This Row],[Vulnerability]]),"",Attacker_Threat_Zone[[#This Row],[Vulnerability]])</f>
        <v>3</v>
      </c>
      <c r="J8" s="110"/>
      <c r="K8" s="99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>3</v>
      </c>
      <c r="L8" s="28" t="str">
        <f>Attacker_Threat_Zone[[#This Row],[Impact
Max]]</f>
        <v>A</v>
      </c>
      <c r="M8" s="110"/>
      <c r="N8" s="99" t="str" cm="1">
        <f t="array" ref="N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High</v>
      </c>
      <c r="O8" s="99">
        <f>IF(OR('SL-T'!$B$18="",Risk_Evaluation[[#This Row],[Actual Risk - 
G-6b]]=""),0,VLOOKUP(Risk_Evaluation[[#This Row],[Actual Risk - 
G-6b]],_DATA!$H$3:$I$7,2,FALSE)-VLOOKUP('SL-T'!$B$18,_DATA!$H$3:$I$7,2,FALSE))</f>
        <v>3</v>
      </c>
      <c r="P8" s="100" t="str">
        <f>VLOOKUP(Risk_Evaluation[[#This Row],[Threat Catalogue]],_3_3_OVERVIEW_MITIGATING!$A$7:$B$66,2,FALSE)</f>
        <v/>
      </c>
      <c r="Q8" s="101"/>
      <c r="R8" s="110"/>
      <c r="S8" s="110"/>
      <c r="T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8" s="110"/>
      <c r="V8" s="111" t="str">
        <f t="array" ref="V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8" s="103">
        <f>IF(OR('SL-T'!$B$18="",Risk_Evaluation[[#This Row],[Actual Risk - 
G-6d]]=""),0,VLOOKUP(Risk_Evaluation[[#This Row],[Actual Risk - 
G-6d]],_DATA!$H$3:$I$7,2,FALSE)-VLOOKUP('SL-T'!$B$18,_DATA!$H$3:$I$7,2,FALSE))</f>
        <v>0</v>
      </c>
      <c r="X8" s="137" t="str">
        <f>VLOOKUP(Risk_Evaluation[[#This Row],[Threat Catalogue]],_2_1_OVERVIEW!$A$7:$B$66,2,FALSE)</f>
        <v/>
      </c>
      <c r="Y8" s="104"/>
      <c r="Z8" s="141"/>
      <c r="AA8" s="112"/>
      <c r="AB8" s="112"/>
      <c r="AC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8" s="112"/>
      <c r="AE8" s="113" t="str">
        <f t="array" ref="AE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8" s="106">
        <f>IF(OR('SL-T'!$B$18="",Risk_Evaluation[[#This Row],[Actual Risk - 
G-6f]]=""),0,VLOOKUP(Risk_Evaluation[[#This Row],[Actual Risk - 
G-6f]],_DATA!$H$3:$I$7,2,FALSE)-VLOOKUP('SL-T'!$B$18,_DATA!$H$3:$I$7,2,FALSE))</f>
        <v>0</v>
      </c>
      <c r="AG8" s="114"/>
      <c r="AH8" s="115"/>
    </row>
    <row r="9" spans="1:34" ht="28.8">
      <c r="A9" s="108" t="str">
        <f>Attacker_Threat_Zone[[#This Row],[Threat Name]]</f>
        <v>G 0.16 Theft of Devices, Storage Media and Documents</v>
      </c>
      <c r="B9" s="97" t="str">
        <f>IF(ISBLANK(Attacker_Threat_Zone[[#This Row],[Relevance]]),"No",Attacker_Threat_Zone[[#This Row],[Relevance]])</f>
        <v>Yes</v>
      </c>
      <c r="C9" s="109"/>
      <c r="D9" s="109"/>
      <c r="E9" s="152" t="str">
        <f>VLOOKUP(Risk_Evaluation[[#This Row],[Threat Catalogue]],_3_3_OVERVIEW_PRE!$A$7:$B$66,2,FALSE)</f>
        <v/>
      </c>
      <c r="F9" s="151"/>
      <c r="G9" s="193">
        <f>IF(ISBLANK(Attacker_Threat_Zone[[#This Row],[Exposure]]),"",Attacker_Threat_Zone[[#This Row],[Exposure]])</f>
        <v>2</v>
      </c>
      <c r="H9" s="110"/>
      <c r="I9" s="193">
        <f>IF(ISBLANK(Attacker_Threat_Zone[[#This Row],[Vulnerability]]),"",Attacker_Threat_Zone[[#This Row],[Vulnerability]])</f>
        <v>2</v>
      </c>
      <c r="J9" s="110"/>
      <c r="K9" s="99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>3</v>
      </c>
      <c r="L9" s="28" t="str">
        <f>Attacker_Threat_Zone[[#This Row],[Impact
Max]]</f>
        <v>A</v>
      </c>
      <c r="M9" s="110"/>
      <c r="N9" s="99" t="str" cm="1">
        <f t="array" ref="N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>High</v>
      </c>
      <c r="O9" s="99">
        <f>IF(OR('SL-T'!$B$18="",Risk_Evaluation[[#This Row],[Actual Risk - 
G-6b]]=""),0,VLOOKUP(Risk_Evaluation[[#This Row],[Actual Risk - 
G-6b]],_DATA!$H$3:$I$7,2,FALSE)-VLOOKUP('SL-T'!$B$18,_DATA!$H$3:$I$7,2,FALSE))</f>
        <v>3</v>
      </c>
      <c r="P9" s="100" t="str">
        <f>VLOOKUP(Risk_Evaluation[[#This Row],[Threat Catalogue]],_3_3_OVERVIEW_MITIGATING!$A$7:$B$66,2,FALSE)</f>
        <v/>
      </c>
      <c r="Q9" s="101"/>
      <c r="R9" s="110"/>
      <c r="S9" s="110"/>
      <c r="T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9" s="110"/>
      <c r="V9" s="111" t="str">
        <f t="array" ref="V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9" s="103">
        <f>IF(OR('SL-T'!$B$18="",Risk_Evaluation[[#This Row],[Actual Risk - 
G-6d]]=""),0,VLOOKUP(Risk_Evaluation[[#This Row],[Actual Risk - 
G-6d]],_DATA!$H$3:$I$7,2,FALSE)-VLOOKUP('SL-T'!$B$18,_DATA!$H$3:$I$7,2,FALSE))</f>
        <v>0</v>
      </c>
      <c r="X9" s="137" t="str">
        <f>VLOOKUP(Risk_Evaluation[[#This Row],[Threat Catalogue]],_2_1_OVERVIEW!$A$7:$B$66,2,FALSE)</f>
        <v/>
      </c>
      <c r="Y9" s="104"/>
      <c r="Z9" s="141"/>
      <c r="AA9" s="112"/>
      <c r="AB9" s="112"/>
      <c r="AC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9" s="112"/>
      <c r="AE9" s="113" t="str">
        <f t="array" ref="AE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9" s="106">
        <f>IF(OR('SL-T'!$B$18="",Risk_Evaluation[[#This Row],[Actual Risk - 
G-6f]]=""),0,VLOOKUP(Risk_Evaluation[[#This Row],[Actual Risk - 
G-6f]],_DATA!$H$3:$I$7,2,FALSE)-VLOOKUP('SL-T'!$B$18,_DATA!$H$3:$I$7,2,FALSE))</f>
        <v>0</v>
      </c>
      <c r="AG9" s="114"/>
      <c r="AH9" s="115"/>
    </row>
    <row r="10" spans="1:34" ht="28.8">
      <c r="A10" s="108" t="str">
        <f>Attacker_Threat_Zone[[#This Row],[Threat Name]]</f>
        <v>G 0.17 Loss of Devices, Storage Media and Documents</v>
      </c>
      <c r="B10" s="97" t="str">
        <f>IF(ISBLANK(Attacker_Threat_Zone[[#This Row],[Relevance]]),"No",Attacker_Threat_Zone[[#This Row],[Relevance]])</f>
        <v>Yes</v>
      </c>
      <c r="C10" s="109"/>
      <c r="D10" s="109"/>
      <c r="E10" s="152" t="str">
        <f>VLOOKUP(Risk_Evaluation[[#This Row],[Threat Catalogue]],_3_3_OVERVIEW_PRE!$A$7:$B$66,2,FALSE)</f>
        <v/>
      </c>
      <c r="F10" s="151"/>
      <c r="G10" s="193" t="str">
        <f>IF(ISBLANK(Attacker_Threat_Zone[[#This Row],[Exposure]]),"",Attacker_Threat_Zone[[#This Row],[Exposure]])</f>
        <v/>
      </c>
      <c r="H10" s="110"/>
      <c r="I10" s="193" t="str">
        <f>IF(ISBLANK(Attacker_Threat_Zone[[#This Row],[Vulnerability]]),"",Attacker_Threat_Zone[[#This Row],[Vulnerability]])</f>
        <v/>
      </c>
      <c r="J10" s="110"/>
      <c r="K1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0" s="28" t="e">
        <f>Attacker_Threat_Zone[[#This Row],[Impact
Max]]</f>
        <v>#N/A</v>
      </c>
      <c r="M10" s="110"/>
      <c r="N10" s="99" t="str" cm="1">
        <f t="array" ref="N1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0" s="99">
        <f>IF(OR('SL-T'!$B$18="",Risk_Evaluation[[#This Row],[Actual Risk - 
G-6b]]=""),0,VLOOKUP(Risk_Evaluation[[#This Row],[Actual Risk - 
G-6b]],_DATA!$H$3:$I$7,2,FALSE)-VLOOKUP('SL-T'!$B$18,_DATA!$H$3:$I$7,2,FALSE))</f>
        <v>0</v>
      </c>
      <c r="P10" s="100" t="str">
        <f>VLOOKUP(Risk_Evaluation[[#This Row],[Threat Catalogue]],_3_3_OVERVIEW_MITIGATING!$A$7:$B$66,2,FALSE)</f>
        <v/>
      </c>
      <c r="Q10" s="101"/>
      <c r="R10" s="110"/>
      <c r="S10" s="110"/>
      <c r="T1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0" s="110"/>
      <c r="V10" s="111" t="str">
        <f t="array" ref="V1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0" s="103">
        <f>IF(OR('SL-T'!$B$18="",Risk_Evaluation[[#This Row],[Actual Risk - 
G-6d]]=""),0,VLOOKUP(Risk_Evaluation[[#This Row],[Actual Risk - 
G-6d]],_DATA!$H$3:$I$7,2,FALSE)-VLOOKUP('SL-T'!$B$18,_DATA!$H$3:$I$7,2,FALSE))</f>
        <v>0</v>
      </c>
      <c r="X10" s="137" t="str">
        <f>VLOOKUP(Risk_Evaluation[[#This Row],[Threat Catalogue]],_2_1_OVERVIEW!$A$7:$B$66,2,FALSE)</f>
        <v/>
      </c>
      <c r="Y10" s="104"/>
      <c r="Z10" s="141"/>
      <c r="AA10" s="112"/>
      <c r="AB10" s="112"/>
      <c r="AC1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0" s="112"/>
      <c r="AE10" s="113" t="str">
        <f t="array" ref="AE1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0" s="106">
        <f>IF(OR('SL-T'!$B$18="",Risk_Evaluation[[#This Row],[Actual Risk - 
G-6f]]=""),0,VLOOKUP(Risk_Evaluation[[#This Row],[Actual Risk - 
G-6f]],_DATA!$H$3:$I$7,2,FALSE)-VLOOKUP('SL-T'!$B$18,_DATA!$H$3:$I$7,2,FALSE))</f>
        <v>0</v>
      </c>
      <c r="AG10" s="114"/>
      <c r="AH10" s="115"/>
    </row>
    <row r="11" spans="1:34">
      <c r="A11" s="108" t="str">
        <f>Attacker_Threat_Zone[[#This Row],[Threat Name]]</f>
        <v>G 0.19 Disclosure of Sensitive Information</v>
      </c>
      <c r="B11" s="97" t="str">
        <f>IF(ISBLANK(Attacker_Threat_Zone[[#This Row],[Relevance]]),"No",Attacker_Threat_Zone[[#This Row],[Relevance]])</f>
        <v>No</v>
      </c>
      <c r="C11" s="109"/>
      <c r="D11" s="109"/>
      <c r="E11" s="152" t="str">
        <f>VLOOKUP(Risk_Evaluation[[#This Row],[Threat Catalogue]],_3_3_OVERVIEW_PRE!$A$7:$B$66,2,FALSE)</f>
        <v/>
      </c>
      <c r="F11" s="151"/>
      <c r="G11" s="193" t="str">
        <f>IF(ISBLANK(Attacker_Threat_Zone[[#This Row],[Exposure]]),"",Attacker_Threat_Zone[[#This Row],[Exposure]])</f>
        <v/>
      </c>
      <c r="H11" s="110"/>
      <c r="I11" s="193" t="str">
        <f>IF(ISBLANK(Attacker_Threat_Zone[[#This Row],[Vulnerability]]),"",Attacker_Threat_Zone[[#This Row],[Vulnerability]])</f>
        <v/>
      </c>
      <c r="J11" s="110"/>
      <c r="K1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1" s="28" t="str">
        <f>Attacker_Threat_Zone[[#This Row],[Impact
Max]]</f>
        <v xml:space="preserve"> </v>
      </c>
      <c r="M11" s="110"/>
      <c r="N11" s="99" t="str" cm="1">
        <f t="array" ref="N1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1" s="99">
        <f>IF(OR('SL-T'!$B$18="",Risk_Evaluation[[#This Row],[Actual Risk - 
G-6b]]=""),0,VLOOKUP(Risk_Evaluation[[#This Row],[Actual Risk - 
G-6b]],_DATA!$H$3:$I$7,2,FALSE)-VLOOKUP('SL-T'!$B$18,_DATA!$H$3:$I$7,2,FALSE))</f>
        <v>0</v>
      </c>
      <c r="P11" s="100" t="str">
        <f>VLOOKUP(Risk_Evaluation[[#This Row],[Threat Catalogue]],_3_3_OVERVIEW_MITIGATING!$A$7:$B$66,2,FALSE)</f>
        <v/>
      </c>
      <c r="Q11" s="101"/>
      <c r="R11" s="110"/>
      <c r="S11" s="110"/>
      <c r="T1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1" s="110"/>
      <c r="V11" s="111" t="str">
        <f t="array" ref="V1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1" s="103">
        <f>IF(OR('SL-T'!$B$18="",Risk_Evaluation[[#This Row],[Actual Risk - 
G-6d]]=""),0,VLOOKUP(Risk_Evaluation[[#This Row],[Actual Risk - 
G-6d]],_DATA!$H$3:$I$7,2,FALSE)-VLOOKUP('SL-T'!$B$18,_DATA!$H$3:$I$7,2,FALSE))</f>
        <v>0</v>
      </c>
      <c r="X11" s="137" t="str">
        <f>VLOOKUP(Risk_Evaluation[[#This Row],[Threat Catalogue]],_2_1_OVERVIEW!$A$7:$B$66,2,FALSE)</f>
        <v/>
      </c>
      <c r="Y11" s="104"/>
      <c r="Z11" s="141"/>
      <c r="AA11" s="112"/>
      <c r="AB11" s="112"/>
      <c r="AC1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1" s="112"/>
      <c r="AE11" s="113" t="str">
        <f t="array" ref="AE1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1" s="106">
        <f>IF(OR('SL-T'!$B$18="",Risk_Evaluation[[#This Row],[Actual Risk - 
G-6f]]=""),0,VLOOKUP(Risk_Evaluation[[#This Row],[Actual Risk - 
G-6f]],_DATA!$H$3:$I$7,2,FALSE)-VLOOKUP('SL-T'!$B$18,_DATA!$H$3:$I$7,2,FALSE))</f>
        <v>0</v>
      </c>
      <c r="AG11" s="114"/>
      <c r="AH11" s="115"/>
    </row>
    <row r="12" spans="1:34" ht="28.8">
      <c r="A12" s="108" t="str">
        <f>Attacker_Threat_Zone[[#This Row],[Threat Name]]</f>
        <v>G 0.20 Information or Products from an Unreliable Source</v>
      </c>
      <c r="B12" s="97" t="str">
        <f>IF(ISBLANK(Attacker_Threat_Zone[[#This Row],[Relevance]]),"No",Attacker_Threat_Zone[[#This Row],[Relevance]])</f>
        <v>No</v>
      </c>
      <c r="C12" s="109"/>
      <c r="D12" s="109"/>
      <c r="E12" s="152" t="str">
        <f>VLOOKUP(Risk_Evaluation[[#This Row],[Threat Catalogue]],_3_3_OVERVIEW_PRE!$A$7:$B$66,2,FALSE)</f>
        <v/>
      </c>
      <c r="F12" s="151"/>
      <c r="G12" s="193" t="str">
        <f>IF(ISBLANK(Attacker_Threat_Zone[[#This Row],[Exposure]]),"",Attacker_Threat_Zone[[#This Row],[Exposure]])</f>
        <v/>
      </c>
      <c r="H12" s="110"/>
      <c r="I12" s="193" t="str">
        <f>IF(ISBLANK(Attacker_Threat_Zone[[#This Row],[Vulnerability]]),"",Attacker_Threat_Zone[[#This Row],[Vulnerability]])</f>
        <v/>
      </c>
      <c r="J12" s="110"/>
      <c r="K1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2" s="28" t="str">
        <f>Attacker_Threat_Zone[[#This Row],[Impact
Max]]</f>
        <v xml:space="preserve"> </v>
      </c>
      <c r="M12" s="110"/>
      <c r="N12" s="99" t="str" cm="1">
        <f t="array" ref="N1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2" s="99">
        <f>IF(OR('SL-T'!$B$18="",Risk_Evaluation[[#This Row],[Actual Risk - 
G-6b]]=""),0,VLOOKUP(Risk_Evaluation[[#This Row],[Actual Risk - 
G-6b]],_DATA!$H$3:$I$7,2,FALSE)-VLOOKUP('SL-T'!$B$18,_DATA!$H$3:$I$7,2,FALSE))</f>
        <v>0</v>
      </c>
      <c r="P12" s="100" t="str">
        <f>VLOOKUP(Risk_Evaluation[[#This Row],[Threat Catalogue]],_3_3_OVERVIEW_MITIGATING!$A$7:$B$66,2,FALSE)</f>
        <v/>
      </c>
      <c r="Q12" s="101"/>
      <c r="R12" s="110"/>
      <c r="S12" s="110"/>
      <c r="T1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2" s="110"/>
      <c r="V12" s="111" t="str">
        <f t="array" ref="V1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2" s="103">
        <f>IF(OR('SL-T'!$B$18="",Risk_Evaluation[[#This Row],[Actual Risk - 
G-6d]]=""),0,VLOOKUP(Risk_Evaluation[[#This Row],[Actual Risk - 
G-6d]],_DATA!$H$3:$I$7,2,FALSE)-VLOOKUP('SL-T'!$B$18,_DATA!$H$3:$I$7,2,FALSE))</f>
        <v>0</v>
      </c>
      <c r="X12" s="137" t="str">
        <f>VLOOKUP(Risk_Evaluation[[#This Row],[Threat Catalogue]],_2_1_OVERVIEW!$A$7:$B$66,2,FALSE)</f>
        <v/>
      </c>
      <c r="Y12" s="104"/>
      <c r="Z12" s="141"/>
      <c r="AA12" s="112"/>
      <c r="AB12" s="112"/>
      <c r="AC1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2" s="112"/>
      <c r="AE12" s="113" t="str">
        <f t="array" ref="AE1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2" s="106">
        <f>IF(OR('SL-T'!$B$18="",Risk_Evaluation[[#This Row],[Actual Risk - 
G-6f]]=""),0,VLOOKUP(Risk_Evaluation[[#This Row],[Actual Risk - 
G-6f]],_DATA!$H$3:$I$7,2,FALSE)-VLOOKUP('SL-T'!$B$18,_DATA!$H$3:$I$7,2,FALSE))</f>
        <v>0</v>
      </c>
      <c r="AG12" s="114"/>
      <c r="AH12" s="115"/>
    </row>
    <row r="13" spans="1:34">
      <c r="A13" s="108" t="str">
        <f>Attacker_Threat_Zone[[#This Row],[Threat Name]]</f>
        <v>G 0.21 Manipulation of Hardware or Software</v>
      </c>
      <c r="B13" s="97" t="str">
        <f>IF(ISBLANK(Attacker_Threat_Zone[[#This Row],[Relevance]]),"No",Attacker_Threat_Zone[[#This Row],[Relevance]])</f>
        <v>No</v>
      </c>
      <c r="C13" s="109"/>
      <c r="D13" s="109"/>
      <c r="E13" s="152" t="str">
        <f>VLOOKUP(Risk_Evaluation[[#This Row],[Threat Catalogue]],_3_3_OVERVIEW_PRE!$A$7:$B$66,2,FALSE)</f>
        <v/>
      </c>
      <c r="F13" s="151"/>
      <c r="G13" s="193" t="str">
        <f>IF(ISBLANK(Attacker_Threat_Zone[[#This Row],[Exposure]]),"",Attacker_Threat_Zone[[#This Row],[Exposure]])</f>
        <v/>
      </c>
      <c r="H13" s="110"/>
      <c r="I13" s="193" t="str">
        <f>IF(ISBLANK(Attacker_Threat_Zone[[#This Row],[Vulnerability]]),"",Attacker_Threat_Zone[[#This Row],[Vulnerability]])</f>
        <v/>
      </c>
      <c r="J13" s="110"/>
      <c r="K1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3" s="28" t="str">
        <f>Attacker_Threat_Zone[[#This Row],[Impact
Max]]</f>
        <v xml:space="preserve"> </v>
      </c>
      <c r="M13" s="110"/>
      <c r="N13" s="99" t="str" cm="1">
        <f t="array" ref="N1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3" s="99">
        <f>IF(OR('SL-T'!$B$18="",Risk_Evaluation[[#This Row],[Actual Risk - 
G-6b]]=""),0,VLOOKUP(Risk_Evaluation[[#This Row],[Actual Risk - 
G-6b]],_DATA!$H$3:$I$7,2,FALSE)-VLOOKUP('SL-T'!$B$18,_DATA!$H$3:$I$7,2,FALSE))</f>
        <v>0</v>
      </c>
      <c r="P13" s="100" t="str">
        <f>VLOOKUP(Risk_Evaluation[[#This Row],[Threat Catalogue]],_3_3_OVERVIEW_MITIGATING!$A$7:$B$66,2,FALSE)</f>
        <v/>
      </c>
      <c r="Q13" s="101"/>
      <c r="R13" s="110"/>
      <c r="S13" s="110"/>
      <c r="T1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3" s="110"/>
      <c r="V13" s="111" t="str">
        <f t="array" ref="V1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3" s="103">
        <f>IF(OR('SL-T'!$B$18="",Risk_Evaluation[[#This Row],[Actual Risk - 
G-6d]]=""),0,VLOOKUP(Risk_Evaluation[[#This Row],[Actual Risk - 
G-6d]],_DATA!$H$3:$I$7,2,FALSE)-VLOOKUP('SL-T'!$B$18,_DATA!$H$3:$I$7,2,FALSE))</f>
        <v>0</v>
      </c>
      <c r="X13" s="137" t="str">
        <f>VLOOKUP(Risk_Evaluation[[#This Row],[Threat Catalogue]],_2_1_OVERVIEW!$A$7:$B$66,2,FALSE)</f>
        <v/>
      </c>
      <c r="Y13" s="104"/>
      <c r="Z13" s="141"/>
      <c r="AA13" s="112"/>
      <c r="AB13" s="112"/>
      <c r="AC1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3" s="112"/>
      <c r="AE13" s="113" t="str">
        <f t="array" ref="AE1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3" s="106">
        <f>IF(OR('SL-T'!$B$18="",Risk_Evaluation[[#This Row],[Actual Risk - 
G-6f]]=""),0,VLOOKUP(Risk_Evaluation[[#This Row],[Actual Risk - 
G-6f]],_DATA!$H$3:$I$7,2,FALSE)-VLOOKUP('SL-T'!$B$18,_DATA!$H$3:$I$7,2,FALSE))</f>
        <v>0</v>
      </c>
      <c r="AG13" s="114"/>
      <c r="AH13" s="115"/>
    </row>
    <row r="14" spans="1:34">
      <c r="A14" s="108" t="str">
        <f>Attacker_Threat_Zone[[#This Row],[Threat Name]]</f>
        <v>G 0.22 Manipulation of Information</v>
      </c>
      <c r="B14" s="97" t="str">
        <f>IF(ISBLANK(Attacker_Threat_Zone[[#This Row],[Relevance]]),"No",Attacker_Threat_Zone[[#This Row],[Relevance]])</f>
        <v>No</v>
      </c>
      <c r="C14" s="109"/>
      <c r="D14" s="109"/>
      <c r="E14" s="152" t="str">
        <f>VLOOKUP(Risk_Evaluation[[#This Row],[Threat Catalogue]],_3_3_OVERVIEW_PRE!$A$7:$B$66,2,FALSE)</f>
        <v/>
      </c>
      <c r="F14" s="151"/>
      <c r="G14" s="193" t="str">
        <f>IF(ISBLANK(Attacker_Threat_Zone[[#This Row],[Exposure]]),"",Attacker_Threat_Zone[[#This Row],[Exposure]])</f>
        <v/>
      </c>
      <c r="H14" s="110"/>
      <c r="I14" s="193" t="str">
        <f>IF(ISBLANK(Attacker_Threat_Zone[[#This Row],[Vulnerability]]),"",Attacker_Threat_Zone[[#This Row],[Vulnerability]])</f>
        <v/>
      </c>
      <c r="J14" s="110"/>
      <c r="K1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4" s="28" t="str">
        <f>Attacker_Threat_Zone[[#This Row],[Impact
Max]]</f>
        <v xml:space="preserve"> </v>
      </c>
      <c r="M14" s="110"/>
      <c r="N14" s="99" t="str" cm="1">
        <f t="array" ref="N1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4" s="99">
        <f>IF(OR('SL-T'!$B$18="",Risk_Evaluation[[#This Row],[Actual Risk - 
G-6b]]=""),0,VLOOKUP(Risk_Evaluation[[#This Row],[Actual Risk - 
G-6b]],_DATA!$H$3:$I$7,2,FALSE)-VLOOKUP('SL-T'!$B$18,_DATA!$H$3:$I$7,2,FALSE))</f>
        <v>0</v>
      </c>
      <c r="P14" s="100" t="str">
        <f>VLOOKUP(Risk_Evaluation[[#This Row],[Threat Catalogue]],_3_3_OVERVIEW_MITIGATING!$A$7:$B$66,2,FALSE)</f>
        <v/>
      </c>
      <c r="Q14" s="101"/>
      <c r="R14" s="110"/>
      <c r="S14" s="110"/>
      <c r="T1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4" s="110"/>
      <c r="V14" s="111" t="str">
        <f t="array" ref="V1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4" s="103">
        <f>IF(OR('SL-T'!$B$18="",Risk_Evaluation[[#This Row],[Actual Risk - 
G-6d]]=""),0,VLOOKUP(Risk_Evaluation[[#This Row],[Actual Risk - 
G-6d]],_DATA!$H$3:$I$7,2,FALSE)-VLOOKUP('SL-T'!$B$18,_DATA!$H$3:$I$7,2,FALSE))</f>
        <v>0</v>
      </c>
      <c r="X14" s="137" t="str">
        <f>VLOOKUP(Risk_Evaluation[[#This Row],[Threat Catalogue]],_2_1_OVERVIEW!$A$7:$B$66,2,FALSE)</f>
        <v/>
      </c>
      <c r="Y14" s="104"/>
      <c r="Z14" s="141"/>
      <c r="AA14" s="112"/>
      <c r="AB14" s="112"/>
      <c r="AC1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4" s="112"/>
      <c r="AE14" s="113" t="str">
        <f t="array" ref="AE1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4" s="106">
        <f>IF(OR('SL-T'!$B$18="",Risk_Evaluation[[#This Row],[Actual Risk - 
G-6f]]=""),0,VLOOKUP(Risk_Evaluation[[#This Row],[Actual Risk - 
G-6f]],_DATA!$H$3:$I$7,2,FALSE)-VLOOKUP('SL-T'!$B$18,_DATA!$H$3:$I$7,2,FALSE))</f>
        <v>0</v>
      </c>
      <c r="AG14" s="114"/>
      <c r="AH14" s="115"/>
    </row>
    <row r="15" spans="1:34">
      <c r="A15" s="108" t="str">
        <f>Attacker_Threat_Zone[[#This Row],[Threat Name]]</f>
        <v>G 0.23 Unauthorised Access to IT Systems</v>
      </c>
      <c r="B15" s="97" t="str">
        <f>IF(ISBLANK(Attacker_Threat_Zone[[#This Row],[Relevance]]),"No",Attacker_Threat_Zone[[#This Row],[Relevance]])</f>
        <v>No</v>
      </c>
      <c r="C15" s="109"/>
      <c r="D15" s="109"/>
      <c r="E15" s="152" t="str">
        <f>VLOOKUP(Risk_Evaluation[[#This Row],[Threat Catalogue]],_3_3_OVERVIEW_PRE!$A$7:$B$66,2,FALSE)</f>
        <v/>
      </c>
      <c r="F15" s="151"/>
      <c r="G15" s="193" t="str">
        <f>IF(ISBLANK(Attacker_Threat_Zone[[#This Row],[Exposure]]),"",Attacker_Threat_Zone[[#This Row],[Exposure]])</f>
        <v/>
      </c>
      <c r="H15" s="110"/>
      <c r="I15" s="193" t="str">
        <f>IF(ISBLANK(Attacker_Threat_Zone[[#This Row],[Vulnerability]]),"",Attacker_Threat_Zone[[#This Row],[Vulnerability]])</f>
        <v/>
      </c>
      <c r="J15" s="110"/>
      <c r="K15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5" s="28" t="str">
        <f>Attacker_Threat_Zone[[#This Row],[Impact
Max]]</f>
        <v xml:space="preserve"> </v>
      </c>
      <c r="M15" s="110"/>
      <c r="N15" s="99" t="str" cm="1">
        <f t="array" ref="N1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5" s="99">
        <f>IF(OR('SL-T'!$B$18="",Risk_Evaluation[[#This Row],[Actual Risk - 
G-6b]]=""),0,VLOOKUP(Risk_Evaluation[[#This Row],[Actual Risk - 
G-6b]],_DATA!$H$3:$I$7,2,FALSE)-VLOOKUP('SL-T'!$B$18,_DATA!$H$3:$I$7,2,FALSE))</f>
        <v>0</v>
      </c>
      <c r="P15" s="100" t="str">
        <f>VLOOKUP(Risk_Evaluation[[#This Row],[Threat Catalogue]],_3_3_OVERVIEW_MITIGATING!$A$7:$B$66,2,FALSE)</f>
        <v/>
      </c>
      <c r="Q15" s="101"/>
      <c r="R15" s="110"/>
      <c r="S15" s="110"/>
      <c r="T15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5" s="110"/>
      <c r="V15" s="111" t="str">
        <f t="array" ref="V15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5" s="103">
        <f>IF(OR('SL-T'!$B$18="",Risk_Evaluation[[#This Row],[Actual Risk - 
G-6d]]=""),0,VLOOKUP(Risk_Evaluation[[#This Row],[Actual Risk - 
G-6d]],_DATA!$H$3:$I$7,2,FALSE)-VLOOKUP('SL-T'!$B$18,_DATA!$H$3:$I$7,2,FALSE))</f>
        <v>0</v>
      </c>
      <c r="X15" s="137" t="str">
        <f>VLOOKUP(Risk_Evaluation[[#This Row],[Threat Catalogue]],_2_1_OVERVIEW!$A$7:$B$66,2,FALSE)</f>
        <v/>
      </c>
      <c r="Y15" s="104"/>
      <c r="Z15" s="141"/>
      <c r="AA15" s="112"/>
      <c r="AB15" s="112"/>
      <c r="AC15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5" s="112"/>
      <c r="AE15" s="113" t="str">
        <f t="array" ref="AE15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5" s="106">
        <f>IF(OR('SL-T'!$B$18="",Risk_Evaluation[[#This Row],[Actual Risk - 
G-6f]]=""),0,VLOOKUP(Risk_Evaluation[[#This Row],[Actual Risk - 
G-6f]],_DATA!$H$3:$I$7,2,FALSE)-VLOOKUP('SL-T'!$B$18,_DATA!$H$3:$I$7,2,FALSE))</f>
        <v>0</v>
      </c>
      <c r="AG15" s="114"/>
      <c r="AH15" s="115"/>
    </row>
    <row r="16" spans="1:34">
      <c r="A16" s="108" t="str">
        <f>Attacker_Threat_Zone[[#This Row],[Threat Name]]</f>
        <v>G 0.24 Destruction of Devices or Storage Media</v>
      </c>
      <c r="B16" s="97" t="str">
        <f>IF(ISBLANK(Attacker_Threat_Zone[[#This Row],[Relevance]]),"No",Attacker_Threat_Zone[[#This Row],[Relevance]])</f>
        <v>No</v>
      </c>
      <c r="C16" s="109"/>
      <c r="D16" s="109"/>
      <c r="E16" s="152" t="str">
        <f>VLOOKUP(Risk_Evaluation[[#This Row],[Threat Catalogue]],_3_3_OVERVIEW_PRE!$A$7:$B$66,2,FALSE)</f>
        <v/>
      </c>
      <c r="F16" s="151"/>
      <c r="G16" s="193" t="str">
        <f>IF(ISBLANK(Attacker_Threat_Zone[[#This Row],[Exposure]]),"",Attacker_Threat_Zone[[#This Row],[Exposure]])</f>
        <v/>
      </c>
      <c r="H16" s="110"/>
      <c r="I16" s="193" t="str">
        <f>IF(ISBLANK(Attacker_Threat_Zone[[#This Row],[Vulnerability]]),"",Attacker_Threat_Zone[[#This Row],[Vulnerability]])</f>
        <v/>
      </c>
      <c r="J16" s="110"/>
      <c r="K16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6" s="28" t="str">
        <f>Attacker_Threat_Zone[[#This Row],[Impact
Max]]</f>
        <v xml:space="preserve"> </v>
      </c>
      <c r="M16" s="110"/>
      <c r="N16" s="99" t="str" cm="1">
        <f t="array" ref="N1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6" s="99">
        <f>IF(OR('SL-T'!$B$18="",Risk_Evaluation[[#This Row],[Actual Risk - 
G-6b]]=""),0,VLOOKUP(Risk_Evaluation[[#This Row],[Actual Risk - 
G-6b]],_DATA!$H$3:$I$7,2,FALSE)-VLOOKUP('SL-T'!$B$18,_DATA!$H$3:$I$7,2,FALSE))</f>
        <v>0</v>
      </c>
      <c r="P16" s="100" t="str">
        <f>VLOOKUP(Risk_Evaluation[[#This Row],[Threat Catalogue]],_3_3_OVERVIEW_MITIGATING!$A$7:$B$66,2,FALSE)</f>
        <v/>
      </c>
      <c r="Q16" s="101"/>
      <c r="R16" s="110"/>
      <c r="S16" s="110"/>
      <c r="T16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6" s="110"/>
      <c r="V16" s="111" t="str">
        <f t="array" ref="V1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6" s="103">
        <f>IF(OR('SL-T'!$B$18="",Risk_Evaluation[[#This Row],[Actual Risk - 
G-6d]]=""),0,VLOOKUP(Risk_Evaluation[[#This Row],[Actual Risk - 
G-6d]],_DATA!$H$3:$I$7,2,FALSE)-VLOOKUP('SL-T'!$B$18,_DATA!$H$3:$I$7,2,FALSE))</f>
        <v>0</v>
      </c>
      <c r="X16" s="137" t="str">
        <f>VLOOKUP(Risk_Evaluation[[#This Row],[Threat Catalogue]],_2_1_OVERVIEW!$A$7:$B$66,2,FALSE)</f>
        <v/>
      </c>
      <c r="Y16" s="104"/>
      <c r="Z16" s="141"/>
      <c r="AA16" s="112"/>
      <c r="AB16" s="112"/>
      <c r="AC16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6" s="112"/>
      <c r="AE16" s="113" t="str">
        <f t="array" ref="AE1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6" s="106">
        <f>IF(OR('SL-T'!$B$18="",Risk_Evaluation[[#This Row],[Actual Risk - 
G-6f]]=""),0,VLOOKUP(Risk_Evaluation[[#This Row],[Actual Risk - 
G-6f]],_DATA!$H$3:$I$7,2,FALSE)-VLOOKUP('SL-T'!$B$18,_DATA!$H$3:$I$7,2,FALSE))</f>
        <v>0</v>
      </c>
      <c r="AG16" s="114"/>
      <c r="AH16" s="115"/>
    </row>
    <row r="17" spans="1:34">
      <c r="A17" s="108" t="str">
        <f>Attacker_Threat_Zone[[#This Row],[Threat Name]]</f>
        <v>G 0.28 Software Vulnerabilities or Errors</v>
      </c>
      <c r="B17" s="97" t="str">
        <f>IF(ISBLANK(Attacker_Threat_Zone[[#This Row],[Relevance]]),"No",Attacker_Threat_Zone[[#This Row],[Relevance]])</f>
        <v>No</v>
      </c>
      <c r="C17" s="109"/>
      <c r="D17" s="109"/>
      <c r="E17" s="152" t="str">
        <f>VLOOKUP(Risk_Evaluation[[#This Row],[Threat Catalogue]],_3_3_OVERVIEW_PRE!$A$7:$B$66,2,FALSE)</f>
        <v/>
      </c>
      <c r="F17" s="151"/>
      <c r="G17" s="193" t="str">
        <f>IF(ISBLANK(Attacker_Threat_Zone[[#This Row],[Exposure]]),"",Attacker_Threat_Zone[[#This Row],[Exposure]])</f>
        <v/>
      </c>
      <c r="H17" s="110"/>
      <c r="I17" s="193" t="str">
        <f>IF(ISBLANK(Attacker_Threat_Zone[[#This Row],[Vulnerability]]),"",Attacker_Threat_Zone[[#This Row],[Vulnerability]])</f>
        <v/>
      </c>
      <c r="J17" s="110"/>
      <c r="K17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7" s="28" t="str">
        <f>Attacker_Threat_Zone[[#This Row],[Impact
Max]]</f>
        <v xml:space="preserve"> </v>
      </c>
      <c r="M17" s="110"/>
      <c r="N17" s="99" t="str" cm="1">
        <f t="array" ref="N1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7" s="99">
        <f>IF(OR('SL-T'!$B$18="",Risk_Evaluation[[#This Row],[Actual Risk - 
G-6b]]=""),0,VLOOKUP(Risk_Evaluation[[#This Row],[Actual Risk - 
G-6b]],_DATA!$H$3:$I$7,2,FALSE)-VLOOKUP('SL-T'!$B$18,_DATA!$H$3:$I$7,2,FALSE))</f>
        <v>0</v>
      </c>
      <c r="P17" s="100" t="str">
        <f>VLOOKUP(Risk_Evaluation[[#This Row],[Threat Catalogue]],_3_3_OVERVIEW_MITIGATING!$A$7:$B$66,2,FALSE)</f>
        <v/>
      </c>
      <c r="Q17" s="101"/>
      <c r="R17" s="110"/>
      <c r="S17" s="110"/>
      <c r="T1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7" s="110"/>
      <c r="V17" s="111" t="str">
        <f t="array" ref="V1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7" s="103">
        <f>IF(OR('SL-T'!$B$18="",Risk_Evaluation[[#This Row],[Actual Risk - 
G-6d]]=""),0,VLOOKUP(Risk_Evaluation[[#This Row],[Actual Risk - 
G-6d]],_DATA!$H$3:$I$7,2,FALSE)-VLOOKUP('SL-T'!$B$18,_DATA!$H$3:$I$7,2,FALSE))</f>
        <v>0</v>
      </c>
      <c r="X17" s="137" t="str">
        <f>VLOOKUP(Risk_Evaluation[[#This Row],[Threat Catalogue]],_2_1_OVERVIEW!$A$7:$B$66,2,FALSE)</f>
        <v/>
      </c>
      <c r="Y17" s="104"/>
      <c r="Z17" s="141"/>
      <c r="AA17" s="112"/>
      <c r="AB17" s="112"/>
      <c r="AC1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7" s="112"/>
      <c r="AE17" s="113" t="str">
        <f t="array" ref="AE1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7" s="106">
        <f>IF(OR('SL-T'!$B$18="",Risk_Evaluation[[#This Row],[Actual Risk - 
G-6f]]=""),0,VLOOKUP(Risk_Evaluation[[#This Row],[Actual Risk - 
G-6f]],_DATA!$H$3:$I$7,2,FALSE)-VLOOKUP('SL-T'!$B$18,_DATA!$H$3:$I$7,2,FALSE))</f>
        <v>0</v>
      </c>
      <c r="AG17" s="114"/>
      <c r="AH17" s="115"/>
    </row>
    <row r="18" spans="1:34" ht="28.8">
      <c r="A18" s="108" t="str">
        <f>Attacker_Threat_Zone[[#This Row],[Threat Name]]</f>
        <v>G 0.30 Unauthorised Use or Administration of Devices and Systems</v>
      </c>
      <c r="B18" s="97" t="str">
        <f>IF(ISBLANK(Attacker_Threat_Zone[[#This Row],[Relevance]]),"No",Attacker_Threat_Zone[[#This Row],[Relevance]])</f>
        <v>No</v>
      </c>
      <c r="C18" s="109"/>
      <c r="D18" s="109"/>
      <c r="E18" s="152" t="str">
        <f>VLOOKUP(Risk_Evaluation[[#This Row],[Threat Catalogue]],_3_3_OVERVIEW_PRE!$A$7:$B$66,2,FALSE)</f>
        <v/>
      </c>
      <c r="F18" s="151"/>
      <c r="G18" s="193" t="str">
        <f>IF(ISBLANK(Attacker_Threat_Zone[[#This Row],[Exposure]]),"",Attacker_Threat_Zone[[#This Row],[Exposure]])</f>
        <v/>
      </c>
      <c r="H18" s="110"/>
      <c r="I18" s="193" t="str">
        <f>IF(ISBLANK(Attacker_Threat_Zone[[#This Row],[Vulnerability]]),"",Attacker_Threat_Zone[[#This Row],[Vulnerability]])</f>
        <v/>
      </c>
      <c r="J18" s="110"/>
      <c r="K18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8" s="28" t="str">
        <f>Attacker_Threat_Zone[[#This Row],[Impact
Max]]</f>
        <v xml:space="preserve"> </v>
      </c>
      <c r="M18" s="110"/>
      <c r="N18" s="99" t="str" cm="1">
        <f t="array" ref="N1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8" s="99">
        <f>IF(OR('SL-T'!$B$18="",Risk_Evaluation[[#This Row],[Actual Risk - 
G-6b]]=""),0,VLOOKUP(Risk_Evaluation[[#This Row],[Actual Risk - 
G-6b]],_DATA!$H$3:$I$7,2,FALSE)-VLOOKUP('SL-T'!$B$18,_DATA!$H$3:$I$7,2,FALSE))</f>
        <v>0</v>
      </c>
      <c r="P18" s="100" t="str">
        <f>VLOOKUP(Risk_Evaluation[[#This Row],[Threat Catalogue]],_3_3_OVERVIEW_MITIGATING!$A$7:$B$66,2,FALSE)</f>
        <v/>
      </c>
      <c r="Q18" s="101"/>
      <c r="R18" s="110"/>
      <c r="S18" s="110"/>
      <c r="T1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8" s="110"/>
      <c r="V18" s="111" t="str">
        <f t="array" ref="V1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8" s="103">
        <f>IF(OR('SL-T'!$B$18="",Risk_Evaluation[[#This Row],[Actual Risk - 
G-6d]]=""),0,VLOOKUP(Risk_Evaluation[[#This Row],[Actual Risk - 
G-6d]],_DATA!$H$3:$I$7,2,FALSE)-VLOOKUP('SL-T'!$B$18,_DATA!$H$3:$I$7,2,FALSE))</f>
        <v>0</v>
      </c>
      <c r="X18" s="137" t="str">
        <f>VLOOKUP(Risk_Evaluation[[#This Row],[Threat Catalogue]],_2_1_OVERVIEW!$A$7:$B$66,2,FALSE)</f>
        <v/>
      </c>
      <c r="Y18" s="104"/>
      <c r="Z18" s="141"/>
      <c r="AA18" s="112"/>
      <c r="AB18" s="112"/>
      <c r="AC1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8" s="112"/>
      <c r="AE18" s="113" t="str">
        <f t="array" ref="AE1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8" s="106">
        <f>IF(OR('SL-T'!$B$18="",Risk_Evaluation[[#This Row],[Actual Risk - 
G-6f]]=""),0,VLOOKUP(Risk_Evaluation[[#This Row],[Actual Risk - 
G-6f]],_DATA!$H$3:$I$7,2,FALSE)-VLOOKUP('SL-T'!$B$18,_DATA!$H$3:$I$7,2,FALSE))</f>
        <v>0</v>
      </c>
      <c r="AG18" s="114"/>
      <c r="AH18" s="115"/>
    </row>
    <row r="19" spans="1:34" ht="28.8">
      <c r="A19" s="108" t="str">
        <f>Attacker_Threat_Zone[[#This Row],[Threat Name]]</f>
        <v>G 0.31 Incorrect Use or Administration of Devices and Systems</v>
      </c>
      <c r="B19" s="97" t="str">
        <f>IF(ISBLANK(Attacker_Threat_Zone[[#This Row],[Relevance]]),"No",Attacker_Threat_Zone[[#This Row],[Relevance]])</f>
        <v>No</v>
      </c>
      <c r="C19" s="109"/>
      <c r="D19" s="109"/>
      <c r="E19" s="152" t="str">
        <f>VLOOKUP(Risk_Evaluation[[#This Row],[Threat Catalogue]],_3_3_OVERVIEW_PRE!$A$7:$B$66,2,FALSE)</f>
        <v/>
      </c>
      <c r="F19" s="151"/>
      <c r="G19" s="193" t="str">
        <f>IF(ISBLANK(Attacker_Threat_Zone[[#This Row],[Exposure]]),"",Attacker_Threat_Zone[[#This Row],[Exposure]])</f>
        <v/>
      </c>
      <c r="H19" s="110"/>
      <c r="I19" s="193" t="str">
        <f>IF(ISBLANK(Attacker_Threat_Zone[[#This Row],[Vulnerability]]),"",Attacker_Threat_Zone[[#This Row],[Vulnerability]])</f>
        <v/>
      </c>
      <c r="J19" s="110"/>
      <c r="K19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19" s="28" t="str">
        <f>Attacker_Threat_Zone[[#This Row],[Impact
Max]]</f>
        <v xml:space="preserve"> </v>
      </c>
      <c r="M19" s="110"/>
      <c r="N19" s="99" t="str" cm="1">
        <f t="array" ref="N1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19" s="99">
        <f>IF(OR('SL-T'!$B$18="",Risk_Evaluation[[#This Row],[Actual Risk - 
G-6b]]=""),0,VLOOKUP(Risk_Evaluation[[#This Row],[Actual Risk - 
G-6b]],_DATA!$H$3:$I$7,2,FALSE)-VLOOKUP('SL-T'!$B$18,_DATA!$H$3:$I$7,2,FALSE))</f>
        <v>0</v>
      </c>
      <c r="P19" s="100" t="str">
        <f>VLOOKUP(Risk_Evaluation[[#This Row],[Threat Catalogue]],_3_3_OVERVIEW_MITIGATING!$A$7:$B$66,2,FALSE)</f>
        <v/>
      </c>
      <c r="Q19" s="101"/>
      <c r="R19" s="110"/>
      <c r="S19" s="110"/>
      <c r="T1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19" s="110"/>
      <c r="V19" s="111" t="str">
        <f t="array" ref="V1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19" s="103">
        <f>IF(OR('SL-T'!$B$18="",Risk_Evaluation[[#This Row],[Actual Risk - 
G-6d]]=""),0,VLOOKUP(Risk_Evaluation[[#This Row],[Actual Risk - 
G-6d]],_DATA!$H$3:$I$7,2,FALSE)-VLOOKUP('SL-T'!$B$18,_DATA!$H$3:$I$7,2,FALSE))</f>
        <v>0</v>
      </c>
      <c r="X19" s="137" t="str">
        <f>VLOOKUP(Risk_Evaluation[[#This Row],[Threat Catalogue]],_2_1_OVERVIEW!$A$7:$B$66,2,FALSE)</f>
        <v/>
      </c>
      <c r="Y19" s="104"/>
      <c r="Z19" s="141"/>
      <c r="AA19" s="112"/>
      <c r="AB19" s="112"/>
      <c r="AC1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19" s="112"/>
      <c r="AE19" s="113" t="str">
        <f t="array" ref="AE1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19" s="106">
        <f>IF(OR('SL-T'!$B$18="",Risk_Evaluation[[#This Row],[Actual Risk - 
G-6f]]=""),0,VLOOKUP(Risk_Evaluation[[#This Row],[Actual Risk - 
G-6f]],_DATA!$H$3:$I$7,2,FALSE)-VLOOKUP('SL-T'!$B$18,_DATA!$H$3:$I$7,2,FALSE))</f>
        <v>0</v>
      </c>
      <c r="AG19" s="114"/>
      <c r="AH19" s="115"/>
    </row>
    <row r="20" spans="1:34">
      <c r="A20" s="108" t="str">
        <f>Attacker_Threat_Zone[[#This Row],[Threat Name]]</f>
        <v>G 0.32 Misuse of Authorisation</v>
      </c>
      <c r="B20" s="97" t="str">
        <f>IF(ISBLANK(Attacker_Threat_Zone[[#This Row],[Relevance]]),"No",Attacker_Threat_Zone[[#This Row],[Relevance]])</f>
        <v>No</v>
      </c>
      <c r="C20" s="109"/>
      <c r="D20" s="109"/>
      <c r="E20" s="152" t="str">
        <f>VLOOKUP(Risk_Evaluation[[#This Row],[Threat Catalogue]],_3_3_OVERVIEW_PRE!$A$7:$B$66,2,FALSE)</f>
        <v/>
      </c>
      <c r="F20" s="151"/>
      <c r="G20" s="193" t="str">
        <f>IF(ISBLANK(Attacker_Threat_Zone[[#This Row],[Exposure]]),"",Attacker_Threat_Zone[[#This Row],[Exposure]])</f>
        <v/>
      </c>
      <c r="H20" s="110"/>
      <c r="I20" s="193" t="str">
        <f>IF(ISBLANK(Attacker_Threat_Zone[[#This Row],[Vulnerability]]),"",Attacker_Threat_Zone[[#This Row],[Vulnerability]])</f>
        <v/>
      </c>
      <c r="J20" s="110"/>
      <c r="K2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0" s="28" t="str">
        <f>Attacker_Threat_Zone[[#This Row],[Impact
Max]]</f>
        <v xml:space="preserve"> </v>
      </c>
      <c r="M20" s="110"/>
      <c r="N20" s="99" t="str" cm="1">
        <f t="array" ref="N2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0" s="99">
        <f>IF(OR('SL-T'!$B$18="",Risk_Evaluation[[#This Row],[Actual Risk - 
G-6b]]=""),0,VLOOKUP(Risk_Evaluation[[#This Row],[Actual Risk - 
G-6b]],_DATA!$H$3:$I$7,2,FALSE)-VLOOKUP('SL-T'!$B$18,_DATA!$H$3:$I$7,2,FALSE))</f>
        <v>0</v>
      </c>
      <c r="P20" s="100" t="str">
        <f>VLOOKUP(Risk_Evaluation[[#This Row],[Threat Catalogue]],_3_3_OVERVIEW_MITIGATING!$A$7:$B$66,2,FALSE)</f>
        <v/>
      </c>
      <c r="Q20" s="101"/>
      <c r="R20" s="110"/>
      <c r="S20" s="110"/>
      <c r="T2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0" s="110"/>
      <c r="V20" s="111" t="str">
        <f t="array" ref="V2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0" s="103">
        <f>IF(OR('SL-T'!$B$18="",Risk_Evaluation[[#This Row],[Actual Risk - 
G-6d]]=""),0,VLOOKUP(Risk_Evaluation[[#This Row],[Actual Risk - 
G-6d]],_DATA!$H$3:$I$7,2,FALSE)-VLOOKUP('SL-T'!$B$18,_DATA!$H$3:$I$7,2,FALSE))</f>
        <v>0</v>
      </c>
      <c r="X20" s="137" t="str">
        <f>VLOOKUP(Risk_Evaluation[[#This Row],[Threat Catalogue]],_2_1_OVERVIEW!$A$7:$B$66,2,FALSE)</f>
        <v/>
      </c>
      <c r="Y20" s="104"/>
      <c r="Z20" s="141"/>
      <c r="AA20" s="112"/>
      <c r="AB20" s="112"/>
      <c r="AC2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0" s="112"/>
      <c r="AE20" s="113" t="str">
        <f t="array" ref="AE2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0" s="106">
        <f>IF(OR('SL-T'!$B$18="",Risk_Evaluation[[#This Row],[Actual Risk - 
G-6f]]=""),0,VLOOKUP(Risk_Evaluation[[#This Row],[Actual Risk - 
G-6f]],_DATA!$H$3:$I$7,2,FALSE)-VLOOKUP('SL-T'!$B$18,_DATA!$H$3:$I$7,2,FALSE))</f>
        <v>0</v>
      </c>
      <c r="AG20" s="114"/>
      <c r="AH20" s="115"/>
    </row>
    <row r="21" spans="1:34">
      <c r="A21" s="108" t="str">
        <f>Attacker_Threat_Zone[[#This Row],[Threat Name]]</f>
        <v>G 0.35 Coercion, Blackmail or Corruption</v>
      </c>
      <c r="B21" s="97" t="str">
        <f>IF(ISBLANK(Attacker_Threat_Zone[[#This Row],[Relevance]]),"No",Attacker_Threat_Zone[[#This Row],[Relevance]])</f>
        <v>No</v>
      </c>
      <c r="C21" s="109"/>
      <c r="D21" s="109"/>
      <c r="E21" s="152" t="str">
        <f>VLOOKUP(Risk_Evaluation[[#This Row],[Threat Catalogue]],_3_3_OVERVIEW_PRE!$A$7:$B$66,2,FALSE)</f>
        <v/>
      </c>
      <c r="F21" s="151"/>
      <c r="G21" s="193" t="str">
        <f>IF(ISBLANK(Attacker_Threat_Zone[[#This Row],[Exposure]]),"",Attacker_Threat_Zone[[#This Row],[Exposure]])</f>
        <v/>
      </c>
      <c r="H21" s="110"/>
      <c r="I21" s="193" t="str">
        <f>IF(ISBLANK(Attacker_Threat_Zone[[#This Row],[Vulnerability]]),"",Attacker_Threat_Zone[[#This Row],[Vulnerability]])</f>
        <v/>
      </c>
      <c r="J21" s="110"/>
      <c r="K2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1" s="28" t="str">
        <f>Attacker_Threat_Zone[[#This Row],[Impact
Max]]</f>
        <v xml:space="preserve"> </v>
      </c>
      <c r="M21" s="110"/>
      <c r="N21" s="99" t="str" cm="1">
        <f t="array" ref="N2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1" s="99">
        <f>IF(OR('SL-T'!$B$18="",Risk_Evaluation[[#This Row],[Actual Risk - 
G-6b]]=""),0,VLOOKUP(Risk_Evaluation[[#This Row],[Actual Risk - 
G-6b]],_DATA!$H$3:$I$7,2,FALSE)-VLOOKUP('SL-T'!$B$18,_DATA!$H$3:$I$7,2,FALSE))</f>
        <v>0</v>
      </c>
      <c r="P21" s="100" t="str">
        <f>VLOOKUP(Risk_Evaluation[[#This Row],[Threat Catalogue]],_3_3_OVERVIEW_MITIGATING!$A$7:$B$66,2,FALSE)</f>
        <v/>
      </c>
      <c r="Q21" s="101"/>
      <c r="R21" s="110"/>
      <c r="S21" s="110"/>
      <c r="T2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1" s="110"/>
      <c r="V21" s="111" t="str">
        <f t="array" ref="V2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1" s="103">
        <f>IF(OR('SL-T'!$B$18="",Risk_Evaluation[[#This Row],[Actual Risk - 
G-6d]]=""),0,VLOOKUP(Risk_Evaluation[[#This Row],[Actual Risk - 
G-6d]],_DATA!$H$3:$I$7,2,FALSE)-VLOOKUP('SL-T'!$B$18,_DATA!$H$3:$I$7,2,FALSE))</f>
        <v>0</v>
      </c>
      <c r="X21" s="137" t="str">
        <f>VLOOKUP(Risk_Evaluation[[#This Row],[Threat Catalogue]],_2_1_OVERVIEW!$A$7:$B$66,2,FALSE)</f>
        <v/>
      </c>
      <c r="Y21" s="104"/>
      <c r="Z21" s="141"/>
      <c r="AA21" s="112"/>
      <c r="AB21" s="112"/>
      <c r="AC2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1" s="112"/>
      <c r="AE21" s="113" t="str">
        <f t="array" ref="AE2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1" s="106">
        <f>IF(OR('SL-T'!$B$18="",Risk_Evaluation[[#This Row],[Actual Risk - 
G-6f]]=""),0,VLOOKUP(Risk_Evaluation[[#This Row],[Actual Risk - 
G-6f]],_DATA!$H$3:$I$7,2,FALSE)-VLOOKUP('SL-T'!$B$18,_DATA!$H$3:$I$7,2,FALSE))</f>
        <v>0</v>
      </c>
      <c r="AG21" s="114"/>
      <c r="AH21" s="115"/>
    </row>
    <row r="22" spans="1:34">
      <c r="A22" s="108" t="str">
        <f>Attacker_Threat_Zone[[#This Row],[Threat Name]]</f>
        <v>G 0.36 Identity Theft</v>
      </c>
      <c r="B22" s="97" t="str">
        <f>IF(ISBLANK(Attacker_Threat_Zone[[#This Row],[Relevance]]),"No",Attacker_Threat_Zone[[#This Row],[Relevance]])</f>
        <v>No</v>
      </c>
      <c r="C22" s="109"/>
      <c r="D22" s="109"/>
      <c r="E22" s="152" t="str">
        <f>VLOOKUP(Risk_Evaluation[[#This Row],[Threat Catalogue]],_3_3_OVERVIEW_PRE!$A$7:$B$66,2,FALSE)</f>
        <v/>
      </c>
      <c r="F22" s="151"/>
      <c r="G22" s="193" t="str">
        <f>IF(ISBLANK(Attacker_Threat_Zone[[#This Row],[Exposure]]),"",Attacker_Threat_Zone[[#This Row],[Exposure]])</f>
        <v/>
      </c>
      <c r="H22" s="110"/>
      <c r="I22" s="193" t="str">
        <f>IF(ISBLANK(Attacker_Threat_Zone[[#This Row],[Vulnerability]]),"",Attacker_Threat_Zone[[#This Row],[Vulnerability]])</f>
        <v/>
      </c>
      <c r="J22" s="110"/>
      <c r="K2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2" s="28" t="str">
        <f>Attacker_Threat_Zone[[#This Row],[Impact
Max]]</f>
        <v xml:space="preserve"> </v>
      </c>
      <c r="M22" s="110"/>
      <c r="N22" s="99" t="str" cm="1">
        <f t="array" ref="N2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2" s="99">
        <f>IF(OR('SL-T'!$B$18="",Risk_Evaluation[[#This Row],[Actual Risk - 
G-6b]]=""),0,VLOOKUP(Risk_Evaluation[[#This Row],[Actual Risk - 
G-6b]],_DATA!$H$3:$I$7,2,FALSE)-VLOOKUP('SL-T'!$B$18,_DATA!$H$3:$I$7,2,FALSE))</f>
        <v>0</v>
      </c>
      <c r="P22" s="100" t="str">
        <f>VLOOKUP(Risk_Evaluation[[#This Row],[Threat Catalogue]],_3_3_OVERVIEW_MITIGATING!$A$7:$B$66,2,FALSE)</f>
        <v/>
      </c>
      <c r="Q22" s="101"/>
      <c r="R22" s="110"/>
      <c r="S22" s="110"/>
      <c r="T2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2" s="110"/>
      <c r="V22" s="111" t="str">
        <f t="array" ref="V2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2" s="103">
        <f>IF(OR('SL-T'!$B$18="",Risk_Evaluation[[#This Row],[Actual Risk - 
G-6d]]=""),0,VLOOKUP(Risk_Evaluation[[#This Row],[Actual Risk - 
G-6d]],_DATA!$H$3:$I$7,2,FALSE)-VLOOKUP('SL-T'!$B$18,_DATA!$H$3:$I$7,2,FALSE))</f>
        <v>0</v>
      </c>
      <c r="X22" s="137" t="str">
        <f>VLOOKUP(Risk_Evaluation[[#This Row],[Threat Catalogue]],_2_1_OVERVIEW!$A$7:$B$66,2,FALSE)</f>
        <v/>
      </c>
      <c r="Y22" s="104"/>
      <c r="Z22" s="141"/>
      <c r="AA22" s="112"/>
      <c r="AB22" s="112"/>
      <c r="AC2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2" s="112"/>
      <c r="AE22" s="113" t="str">
        <f t="array" ref="AE2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2" s="106">
        <f>IF(OR('SL-T'!$B$18="",Risk_Evaluation[[#This Row],[Actual Risk - 
G-6f]]=""),0,VLOOKUP(Risk_Evaluation[[#This Row],[Actual Risk - 
G-6f]],_DATA!$H$3:$I$7,2,FALSE)-VLOOKUP('SL-T'!$B$18,_DATA!$H$3:$I$7,2,FALSE))</f>
        <v>0</v>
      </c>
      <c r="AG22" s="114"/>
      <c r="AH22" s="115"/>
    </row>
    <row r="23" spans="1:34">
      <c r="A23" s="108" t="str">
        <f>Attacker_Threat_Zone[[#This Row],[Threat Name]]</f>
        <v>G 0.37 Repudiation of Actions</v>
      </c>
      <c r="B23" s="97" t="str">
        <f>IF(ISBLANK(Attacker_Threat_Zone[[#This Row],[Relevance]]),"No",Attacker_Threat_Zone[[#This Row],[Relevance]])</f>
        <v>No</v>
      </c>
      <c r="C23" s="109"/>
      <c r="D23" s="109"/>
      <c r="E23" s="152" t="str">
        <f>VLOOKUP(Risk_Evaluation[[#This Row],[Threat Catalogue]],_3_3_OVERVIEW_PRE!$A$7:$B$66,2,FALSE)</f>
        <v/>
      </c>
      <c r="F23" s="151"/>
      <c r="G23" s="193" t="str">
        <f>IF(ISBLANK(Attacker_Threat_Zone[[#This Row],[Exposure]]),"",Attacker_Threat_Zone[[#This Row],[Exposure]])</f>
        <v/>
      </c>
      <c r="H23" s="110"/>
      <c r="I23" s="193" t="str">
        <f>IF(ISBLANK(Attacker_Threat_Zone[[#This Row],[Vulnerability]]),"",Attacker_Threat_Zone[[#This Row],[Vulnerability]])</f>
        <v/>
      </c>
      <c r="J23" s="110"/>
      <c r="K2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3" s="28" t="str">
        <f>Attacker_Threat_Zone[[#This Row],[Impact
Max]]</f>
        <v xml:space="preserve"> </v>
      </c>
      <c r="M23" s="110"/>
      <c r="N23" s="99" t="str" cm="1">
        <f t="array" ref="N2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3" s="99">
        <f>IF(OR('SL-T'!$B$18="",Risk_Evaluation[[#This Row],[Actual Risk - 
G-6b]]=""),0,VLOOKUP(Risk_Evaluation[[#This Row],[Actual Risk - 
G-6b]],_DATA!$H$3:$I$7,2,FALSE)-VLOOKUP('SL-T'!$B$18,_DATA!$H$3:$I$7,2,FALSE))</f>
        <v>0</v>
      </c>
      <c r="P23" s="100" t="str">
        <f>VLOOKUP(Risk_Evaluation[[#This Row],[Threat Catalogue]],_3_3_OVERVIEW_MITIGATING!$A$7:$B$66,2,FALSE)</f>
        <v/>
      </c>
      <c r="Q23" s="101"/>
      <c r="R23" s="110"/>
      <c r="S23" s="110"/>
      <c r="T2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3" s="110"/>
      <c r="V23" s="111" t="str">
        <f t="array" ref="V2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3" s="103">
        <f>IF(OR('SL-T'!$B$18="",Risk_Evaluation[[#This Row],[Actual Risk - 
G-6d]]=""),0,VLOOKUP(Risk_Evaluation[[#This Row],[Actual Risk - 
G-6d]],_DATA!$H$3:$I$7,2,FALSE)-VLOOKUP('SL-T'!$B$18,_DATA!$H$3:$I$7,2,FALSE))</f>
        <v>0</v>
      </c>
      <c r="X23" s="137" t="str">
        <f>VLOOKUP(Risk_Evaluation[[#This Row],[Threat Catalogue]],_2_1_OVERVIEW!$A$7:$B$66,2,FALSE)</f>
        <v/>
      </c>
      <c r="Y23" s="104"/>
      <c r="Z23" s="141"/>
      <c r="AA23" s="112"/>
      <c r="AB23" s="112"/>
      <c r="AC2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3" s="112"/>
      <c r="AE23" s="113" t="str">
        <f t="array" ref="AE2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3" s="106">
        <f>IF(OR('SL-T'!$B$18="",Risk_Evaluation[[#This Row],[Actual Risk - 
G-6f]]=""),0,VLOOKUP(Risk_Evaluation[[#This Row],[Actual Risk - 
G-6f]],_DATA!$H$3:$I$7,2,FALSE)-VLOOKUP('SL-T'!$B$18,_DATA!$H$3:$I$7,2,FALSE))</f>
        <v>0</v>
      </c>
      <c r="AG23" s="114"/>
      <c r="AH23" s="115"/>
    </row>
    <row r="24" spans="1:34">
      <c r="A24" s="108" t="str">
        <f>Attacker_Threat_Zone[[#This Row],[Threat Name]]</f>
        <v>G 0.38 Misuse of Personal Information</v>
      </c>
      <c r="B24" s="97" t="str">
        <f>IF(ISBLANK(Attacker_Threat_Zone[[#This Row],[Relevance]]),"No",Attacker_Threat_Zone[[#This Row],[Relevance]])</f>
        <v>No</v>
      </c>
      <c r="C24" s="116"/>
      <c r="D24" s="109"/>
      <c r="E24" s="152" t="str">
        <f>VLOOKUP(Risk_Evaluation[[#This Row],[Threat Catalogue]],_3_3_OVERVIEW_PRE!$A$7:$B$66,2,FALSE)</f>
        <v/>
      </c>
      <c r="F24" s="151"/>
      <c r="G24" s="193" t="str">
        <f>IF(ISBLANK(Attacker_Threat_Zone[[#This Row],[Exposure]]),"",Attacker_Threat_Zone[[#This Row],[Exposure]])</f>
        <v/>
      </c>
      <c r="H24" s="110"/>
      <c r="I24" s="193" t="str">
        <f>IF(ISBLANK(Attacker_Threat_Zone[[#This Row],[Vulnerability]]),"",Attacker_Threat_Zone[[#This Row],[Vulnerability]])</f>
        <v/>
      </c>
      <c r="J24" s="110"/>
      <c r="K2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4" s="28" t="str">
        <f>Attacker_Threat_Zone[[#This Row],[Impact
Max]]</f>
        <v xml:space="preserve"> </v>
      </c>
      <c r="M24" s="110"/>
      <c r="N24" s="99" t="str" cm="1">
        <f t="array" ref="N2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4" s="99">
        <f>IF(OR('SL-T'!$B$18="",Risk_Evaluation[[#This Row],[Actual Risk - 
G-6b]]=""),0,VLOOKUP(Risk_Evaluation[[#This Row],[Actual Risk - 
G-6b]],_DATA!$H$3:$I$7,2,FALSE)-VLOOKUP('SL-T'!$B$18,_DATA!$H$3:$I$7,2,FALSE))</f>
        <v>0</v>
      </c>
      <c r="P24" s="100" t="str">
        <f>VLOOKUP(Risk_Evaluation[[#This Row],[Threat Catalogue]],_3_3_OVERVIEW_MITIGATING!$A$7:$B$66,2,FALSE)</f>
        <v/>
      </c>
      <c r="Q24" s="101"/>
      <c r="R24" s="110"/>
      <c r="S24" s="110"/>
      <c r="T2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4" s="110"/>
      <c r="V24" s="111" t="str">
        <f t="array" ref="V2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4" s="103">
        <f>IF(OR('SL-T'!$B$18="",Risk_Evaluation[[#This Row],[Actual Risk - 
G-6d]]=""),0,VLOOKUP(Risk_Evaluation[[#This Row],[Actual Risk - 
G-6d]],_DATA!$H$3:$I$7,2,FALSE)-VLOOKUP('SL-T'!$B$18,_DATA!$H$3:$I$7,2,FALSE))</f>
        <v>0</v>
      </c>
      <c r="X24" s="137" t="str">
        <f>VLOOKUP(Risk_Evaluation[[#This Row],[Threat Catalogue]],_2_1_OVERVIEW!$A$7:$B$66,2,FALSE)</f>
        <v/>
      </c>
      <c r="Y24" s="104"/>
      <c r="Z24" s="141"/>
      <c r="AA24" s="112"/>
      <c r="AB24" s="112"/>
      <c r="AC2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4" s="112"/>
      <c r="AE24" s="113" t="str">
        <f t="array" ref="AE2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4" s="106">
        <f>IF(OR('SL-T'!$B$18="",Risk_Evaluation[[#This Row],[Actual Risk - 
G-6f]]=""),0,VLOOKUP(Risk_Evaluation[[#This Row],[Actual Risk - 
G-6f]],_DATA!$H$3:$I$7,2,FALSE)-VLOOKUP('SL-T'!$B$18,_DATA!$H$3:$I$7,2,FALSE))</f>
        <v>0</v>
      </c>
      <c r="AG24" s="114"/>
      <c r="AH24" s="115"/>
    </row>
    <row r="25" spans="1:34">
      <c r="A25" s="108" t="str">
        <f>Attacker_Threat_Zone[[#This Row],[Threat Name]]</f>
        <v>G 0.39 Malware</v>
      </c>
      <c r="B25" s="97" t="str">
        <f>IF(ISBLANK(Attacker_Threat_Zone[[#This Row],[Relevance]]),"No",Attacker_Threat_Zone[[#This Row],[Relevance]])</f>
        <v>No</v>
      </c>
      <c r="C25" s="109"/>
      <c r="D25" s="109"/>
      <c r="E25" s="152" t="str">
        <f>VLOOKUP(Risk_Evaluation[[#This Row],[Threat Catalogue]],_3_3_OVERVIEW_PRE!$A$7:$B$66,2,FALSE)</f>
        <v/>
      </c>
      <c r="F25" s="151"/>
      <c r="G25" s="193" t="str">
        <f>IF(ISBLANK(Attacker_Threat_Zone[[#This Row],[Exposure]]),"",Attacker_Threat_Zone[[#This Row],[Exposure]])</f>
        <v/>
      </c>
      <c r="H25" s="110"/>
      <c r="I25" s="193" t="str">
        <f>IF(ISBLANK(Attacker_Threat_Zone[[#This Row],[Vulnerability]]),"",Attacker_Threat_Zone[[#This Row],[Vulnerability]])</f>
        <v/>
      </c>
      <c r="J25" s="110"/>
      <c r="K25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5" s="28" t="str">
        <f>Attacker_Threat_Zone[[#This Row],[Impact
Max]]</f>
        <v xml:space="preserve"> </v>
      </c>
      <c r="M25" s="110"/>
      <c r="N25" s="99" t="str" cm="1">
        <f t="array" ref="N2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5" s="99">
        <f>IF(OR('SL-T'!$B$18="",Risk_Evaluation[[#This Row],[Actual Risk - 
G-6b]]=""),0,VLOOKUP(Risk_Evaluation[[#This Row],[Actual Risk - 
G-6b]],_DATA!$H$3:$I$7,2,FALSE)-VLOOKUP('SL-T'!$B$18,_DATA!$H$3:$I$7,2,FALSE))</f>
        <v>0</v>
      </c>
      <c r="P25" s="100" t="str">
        <f>VLOOKUP(Risk_Evaluation[[#This Row],[Threat Catalogue]],_3_3_OVERVIEW_MITIGATING!$A$7:$B$66,2,FALSE)</f>
        <v/>
      </c>
      <c r="Q25" s="101"/>
      <c r="R25" s="110"/>
      <c r="S25" s="110"/>
      <c r="T25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5" s="110"/>
      <c r="V25" s="111" t="str">
        <f t="array" ref="V25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5" s="103">
        <f>IF(OR('SL-T'!$B$18="",Risk_Evaluation[[#This Row],[Actual Risk - 
G-6d]]=""),0,VLOOKUP(Risk_Evaluation[[#This Row],[Actual Risk - 
G-6d]],_DATA!$H$3:$I$7,2,FALSE)-VLOOKUP('SL-T'!$B$18,_DATA!$H$3:$I$7,2,FALSE))</f>
        <v>0</v>
      </c>
      <c r="X25" s="137" t="str">
        <f>VLOOKUP(Risk_Evaluation[[#This Row],[Threat Catalogue]],_2_1_OVERVIEW!$A$7:$B$66,2,FALSE)</f>
        <v/>
      </c>
      <c r="Y25" s="104"/>
      <c r="Z25" s="141"/>
      <c r="AA25" s="112"/>
      <c r="AB25" s="112"/>
      <c r="AC25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5" s="112"/>
      <c r="AE25" s="113" t="str">
        <f t="array" ref="AE25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5" s="106">
        <f>IF(OR('SL-T'!$B$18="",Risk_Evaluation[[#This Row],[Actual Risk - 
G-6f]]=""),0,VLOOKUP(Risk_Evaluation[[#This Row],[Actual Risk - 
G-6f]],_DATA!$H$3:$I$7,2,FALSE)-VLOOKUP('SL-T'!$B$18,_DATA!$H$3:$I$7,2,FALSE))</f>
        <v>0</v>
      </c>
      <c r="AG25" s="114"/>
      <c r="AH25" s="115"/>
    </row>
    <row r="26" spans="1:34">
      <c r="A26" s="108" t="str">
        <f>Attacker_Threat_Zone[[#This Row],[Threat Name]]</f>
        <v>G 0.40 Denial of Service</v>
      </c>
      <c r="B26" s="97" t="str">
        <f>IF(ISBLANK(Attacker_Threat_Zone[[#This Row],[Relevance]]),"No",Attacker_Threat_Zone[[#This Row],[Relevance]])</f>
        <v>No</v>
      </c>
      <c r="C26" s="109"/>
      <c r="D26" s="109"/>
      <c r="E26" s="152" t="str">
        <f>VLOOKUP(Risk_Evaluation[[#This Row],[Threat Catalogue]],_3_3_OVERVIEW_PRE!$A$7:$B$66,2,FALSE)</f>
        <v/>
      </c>
      <c r="F26" s="151"/>
      <c r="G26" s="193" t="str">
        <f>IF(ISBLANK(Attacker_Threat_Zone[[#This Row],[Exposure]]),"",Attacker_Threat_Zone[[#This Row],[Exposure]])</f>
        <v/>
      </c>
      <c r="H26" s="110"/>
      <c r="I26" s="193" t="str">
        <f>IF(ISBLANK(Attacker_Threat_Zone[[#This Row],[Vulnerability]]),"",Attacker_Threat_Zone[[#This Row],[Vulnerability]])</f>
        <v/>
      </c>
      <c r="J26" s="110"/>
      <c r="K26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6" s="28" t="str">
        <f>Attacker_Threat_Zone[[#This Row],[Impact
Max]]</f>
        <v xml:space="preserve"> </v>
      </c>
      <c r="M26" s="110"/>
      <c r="N26" s="99" t="str" cm="1">
        <f t="array" ref="N2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6" s="99">
        <f>IF(OR('SL-T'!$B$18="",Risk_Evaluation[[#This Row],[Actual Risk - 
G-6b]]=""),0,VLOOKUP(Risk_Evaluation[[#This Row],[Actual Risk - 
G-6b]],_DATA!$H$3:$I$7,2,FALSE)-VLOOKUP('SL-T'!$B$18,_DATA!$H$3:$I$7,2,FALSE))</f>
        <v>0</v>
      </c>
      <c r="P26" s="100" t="str">
        <f>VLOOKUP(Risk_Evaluation[[#This Row],[Threat Catalogue]],_3_3_OVERVIEW_MITIGATING!$A$7:$B$66,2,FALSE)</f>
        <v/>
      </c>
      <c r="Q26" s="101"/>
      <c r="R26" s="110"/>
      <c r="S26" s="110"/>
      <c r="T26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6" s="110"/>
      <c r="V26" s="111" t="str">
        <f t="array" ref="V2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6" s="103">
        <f>IF(OR('SL-T'!$B$18="",Risk_Evaluation[[#This Row],[Actual Risk - 
G-6d]]=""),0,VLOOKUP(Risk_Evaluation[[#This Row],[Actual Risk - 
G-6d]],_DATA!$H$3:$I$7,2,FALSE)-VLOOKUP('SL-T'!$B$18,_DATA!$H$3:$I$7,2,FALSE))</f>
        <v>0</v>
      </c>
      <c r="X26" s="137" t="str">
        <f>VLOOKUP(Risk_Evaluation[[#This Row],[Threat Catalogue]],_2_1_OVERVIEW!$A$7:$B$66,2,FALSE)</f>
        <v/>
      </c>
      <c r="Y26" s="104"/>
      <c r="Z26" s="141"/>
      <c r="AA26" s="112"/>
      <c r="AB26" s="112"/>
      <c r="AC26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6" s="112"/>
      <c r="AE26" s="113" t="str">
        <f t="array" ref="AE2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6" s="106">
        <f>IF(OR('SL-T'!$B$18="",Risk_Evaluation[[#This Row],[Actual Risk - 
G-6f]]=""),0,VLOOKUP(Risk_Evaluation[[#This Row],[Actual Risk - 
G-6f]],_DATA!$H$3:$I$7,2,FALSE)-VLOOKUP('SL-T'!$B$18,_DATA!$H$3:$I$7,2,FALSE))</f>
        <v>0</v>
      </c>
      <c r="AG26" s="114"/>
      <c r="AH26" s="115"/>
    </row>
    <row r="27" spans="1:34">
      <c r="A27" s="108" t="str">
        <f>Attacker_Threat_Zone[[#This Row],[Threat Name]]</f>
        <v>G 0.42 Social Engineering</v>
      </c>
      <c r="B27" s="97" t="str">
        <f>IF(ISBLANK(Attacker_Threat_Zone[[#This Row],[Relevance]]),"No",Attacker_Threat_Zone[[#This Row],[Relevance]])</f>
        <v>No</v>
      </c>
      <c r="C27" s="109"/>
      <c r="D27" s="109"/>
      <c r="E27" s="152" t="str">
        <f>VLOOKUP(Risk_Evaluation[[#This Row],[Threat Catalogue]],_3_3_OVERVIEW_PRE!$A$7:$B$66,2,FALSE)</f>
        <v/>
      </c>
      <c r="F27" s="151"/>
      <c r="G27" s="193" t="str">
        <f>IF(ISBLANK(Attacker_Threat_Zone[[#This Row],[Exposure]]),"",Attacker_Threat_Zone[[#This Row],[Exposure]])</f>
        <v/>
      </c>
      <c r="H27" s="110"/>
      <c r="I27" s="193" t="str">
        <f>IF(ISBLANK(Attacker_Threat_Zone[[#This Row],[Vulnerability]]),"",Attacker_Threat_Zone[[#This Row],[Vulnerability]])</f>
        <v/>
      </c>
      <c r="J27" s="110"/>
      <c r="K27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7" s="28" t="str">
        <f>Attacker_Threat_Zone[[#This Row],[Impact
Max]]</f>
        <v xml:space="preserve"> </v>
      </c>
      <c r="M27" s="110"/>
      <c r="N27" s="99" t="str" cm="1">
        <f t="array" ref="N2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7" s="99">
        <f>IF(OR('SL-T'!$B$18="",Risk_Evaluation[[#This Row],[Actual Risk - 
G-6b]]=""),0,VLOOKUP(Risk_Evaluation[[#This Row],[Actual Risk - 
G-6b]],_DATA!$H$3:$I$7,2,FALSE)-VLOOKUP('SL-T'!$B$18,_DATA!$H$3:$I$7,2,FALSE))</f>
        <v>0</v>
      </c>
      <c r="P27" s="100" t="str">
        <f>VLOOKUP(Risk_Evaluation[[#This Row],[Threat Catalogue]],_3_3_OVERVIEW_MITIGATING!$A$7:$B$66,2,FALSE)</f>
        <v/>
      </c>
      <c r="Q27" s="101"/>
      <c r="R27" s="110"/>
      <c r="S27" s="110"/>
      <c r="T2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7" s="110"/>
      <c r="V27" s="111" t="str">
        <f t="array" ref="V2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7" s="103">
        <f>IF(OR('SL-T'!$B$18="",Risk_Evaluation[[#This Row],[Actual Risk - 
G-6d]]=""),0,VLOOKUP(Risk_Evaluation[[#This Row],[Actual Risk - 
G-6d]],_DATA!$H$3:$I$7,2,FALSE)-VLOOKUP('SL-T'!$B$18,_DATA!$H$3:$I$7,2,FALSE))</f>
        <v>0</v>
      </c>
      <c r="X27" s="137" t="str">
        <f>VLOOKUP(Risk_Evaluation[[#This Row],[Threat Catalogue]],_2_1_OVERVIEW!$A$7:$B$66,2,FALSE)</f>
        <v/>
      </c>
      <c r="Y27" s="104"/>
      <c r="Z27" s="141"/>
      <c r="AA27" s="112"/>
      <c r="AB27" s="112"/>
      <c r="AC2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7" s="112"/>
      <c r="AE27" s="113" t="str">
        <f t="array" ref="AE2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7" s="106">
        <f>IF(OR('SL-T'!$B$18="",Risk_Evaluation[[#This Row],[Actual Risk - 
G-6f]]=""),0,VLOOKUP(Risk_Evaluation[[#This Row],[Actual Risk - 
G-6f]],_DATA!$H$3:$I$7,2,FALSE)-VLOOKUP('SL-T'!$B$18,_DATA!$H$3:$I$7,2,FALSE))</f>
        <v>0</v>
      </c>
      <c r="AG27" s="114"/>
      <c r="AH27" s="115"/>
    </row>
    <row r="28" spans="1:34">
      <c r="A28" s="108" t="str">
        <f>Attacker_Threat_Zone[[#This Row],[Threat Name]]</f>
        <v>G 0.43 Attack with Specially Crafted Messages</v>
      </c>
      <c r="B28" s="97" t="str">
        <f>IF(ISBLANK(Attacker_Threat_Zone[[#This Row],[Relevance]]),"No",Attacker_Threat_Zone[[#This Row],[Relevance]])</f>
        <v>No</v>
      </c>
      <c r="C28" s="109"/>
      <c r="D28" s="109"/>
      <c r="E28" s="152" t="str">
        <f>VLOOKUP(Risk_Evaluation[[#This Row],[Threat Catalogue]],_3_3_OVERVIEW_PRE!$A$7:$B$66,2,FALSE)</f>
        <v/>
      </c>
      <c r="F28" s="151"/>
      <c r="G28" s="193" t="str">
        <f>IF(ISBLANK(Attacker_Threat_Zone[[#This Row],[Exposure]]),"",Attacker_Threat_Zone[[#This Row],[Exposure]])</f>
        <v/>
      </c>
      <c r="H28" s="110"/>
      <c r="I28" s="193" t="str">
        <f>IF(ISBLANK(Attacker_Threat_Zone[[#This Row],[Vulnerability]]),"",Attacker_Threat_Zone[[#This Row],[Vulnerability]])</f>
        <v/>
      </c>
      <c r="J28" s="110"/>
      <c r="K28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8" s="28" t="str">
        <f>Attacker_Threat_Zone[[#This Row],[Impact
Max]]</f>
        <v xml:space="preserve"> </v>
      </c>
      <c r="M28" s="110"/>
      <c r="N28" s="99" t="str" cm="1">
        <f t="array" ref="N2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8" s="99">
        <f>IF(OR('SL-T'!$B$18="",Risk_Evaluation[[#This Row],[Actual Risk - 
G-6b]]=""),0,VLOOKUP(Risk_Evaluation[[#This Row],[Actual Risk - 
G-6b]],_DATA!$H$3:$I$7,2,FALSE)-VLOOKUP('SL-T'!$B$18,_DATA!$H$3:$I$7,2,FALSE))</f>
        <v>0</v>
      </c>
      <c r="P28" s="100" t="str">
        <f>VLOOKUP(Risk_Evaluation[[#This Row],[Threat Catalogue]],_3_3_OVERVIEW_MITIGATING!$A$7:$B$66,2,FALSE)</f>
        <v/>
      </c>
      <c r="Q28" s="101"/>
      <c r="R28" s="110"/>
      <c r="S28" s="110"/>
      <c r="T2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8" s="110"/>
      <c r="V28" s="111" t="str">
        <f t="array" ref="V2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8" s="103">
        <f>IF(OR('SL-T'!$B$18="",Risk_Evaluation[[#This Row],[Actual Risk - 
G-6d]]=""),0,VLOOKUP(Risk_Evaluation[[#This Row],[Actual Risk - 
G-6d]],_DATA!$H$3:$I$7,2,FALSE)-VLOOKUP('SL-T'!$B$18,_DATA!$H$3:$I$7,2,FALSE))</f>
        <v>0</v>
      </c>
      <c r="X28" s="137" t="str">
        <f>VLOOKUP(Risk_Evaluation[[#This Row],[Threat Catalogue]],_2_1_OVERVIEW!$A$7:$B$66,2,FALSE)</f>
        <v/>
      </c>
      <c r="Y28" s="104"/>
      <c r="Z28" s="141"/>
      <c r="AA28" s="112"/>
      <c r="AB28" s="112"/>
      <c r="AC2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8" s="112"/>
      <c r="AE28" s="113" t="str">
        <f t="array" ref="AE2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8" s="106">
        <f>IF(OR('SL-T'!$B$18="",Risk_Evaluation[[#This Row],[Actual Risk - 
G-6f]]=""),0,VLOOKUP(Risk_Evaluation[[#This Row],[Actual Risk - 
G-6f]],_DATA!$H$3:$I$7,2,FALSE)-VLOOKUP('SL-T'!$B$18,_DATA!$H$3:$I$7,2,FALSE))</f>
        <v>0</v>
      </c>
      <c r="AG28" s="114"/>
      <c r="AH28" s="115"/>
    </row>
    <row r="29" spans="1:34">
      <c r="A29" s="108" t="str">
        <f>Attacker_Threat_Zone[[#This Row],[Threat Name]]</f>
        <v>G 0.44 Unauthorised Entry to Premises</v>
      </c>
      <c r="B29" s="97" t="str">
        <f>IF(ISBLANK(Attacker_Threat_Zone[[#This Row],[Relevance]]),"No",Attacker_Threat_Zone[[#This Row],[Relevance]])</f>
        <v>No</v>
      </c>
      <c r="C29" s="109"/>
      <c r="D29" s="109"/>
      <c r="E29" s="152" t="str">
        <f>VLOOKUP(Risk_Evaluation[[#This Row],[Threat Catalogue]],_3_3_OVERVIEW_PRE!$A$7:$B$66,2,FALSE)</f>
        <v/>
      </c>
      <c r="F29" s="151"/>
      <c r="G29" s="193" t="str">
        <f>IF(ISBLANK(Attacker_Threat_Zone[[#This Row],[Exposure]]),"",Attacker_Threat_Zone[[#This Row],[Exposure]])</f>
        <v/>
      </c>
      <c r="H29" s="110"/>
      <c r="I29" s="193" t="str">
        <f>IF(ISBLANK(Attacker_Threat_Zone[[#This Row],[Vulnerability]]),"",Attacker_Threat_Zone[[#This Row],[Vulnerability]])</f>
        <v/>
      </c>
      <c r="J29" s="110"/>
      <c r="K29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29" s="28" t="str">
        <f>Attacker_Threat_Zone[[#This Row],[Impact
Max]]</f>
        <v xml:space="preserve"> </v>
      </c>
      <c r="M29" s="110"/>
      <c r="N29" s="99" t="str" cm="1">
        <f t="array" ref="N2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29" s="99">
        <f>IF(OR('SL-T'!$B$18="",Risk_Evaluation[[#This Row],[Actual Risk - 
G-6b]]=""),0,VLOOKUP(Risk_Evaluation[[#This Row],[Actual Risk - 
G-6b]],_DATA!$H$3:$I$7,2,FALSE)-VLOOKUP('SL-T'!$B$18,_DATA!$H$3:$I$7,2,FALSE))</f>
        <v>0</v>
      </c>
      <c r="P29" s="100" t="str">
        <f>VLOOKUP(Risk_Evaluation[[#This Row],[Threat Catalogue]],_3_3_OVERVIEW_MITIGATING!$A$7:$B$66,2,FALSE)</f>
        <v/>
      </c>
      <c r="Q29" s="101"/>
      <c r="R29" s="110"/>
      <c r="S29" s="110"/>
      <c r="T2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29" s="110"/>
      <c r="V29" s="111" t="str">
        <f t="array" ref="V2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29" s="103">
        <f>IF(OR('SL-T'!$B$18="",Risk_Evaluation[[#This Row],[Actual Risk - 
G-6d]]=""),0,VLOOKUP(Risk_Evaluation[[#This Row],[Actual Risk - 
G-6d]],_DATA!$H$3:$I$7,2,FALSE)-VLOOKUP('SL-T'!$B$18,_DATA!$H$3:$I$7,2,FALSE))</f>
        <v>0</v>
      </c>
      <c r="X29" s="137" t="str">
        <f>VLOOKUP(Risk_Evaluation[[#This Row],[Threat Catalogue]],_2_1_OVERVIEW!$A$7:$B$66,2,FALSE)</f>
        <v/>
      </c>
      <c r="Y29" s="104"/>
      <c r="Z29" s="141"/>
      <c r="AA29" s="112"/>
      <c r="AB29" s="112"/>
      <c r="AC2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29" s="112"/>
      <c r="AE29" s="113" t="str">
        <f t="array" ref="AE2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29" s="106">
        <f>IF(OR('SL-T'!$B$18="",Risk_Evaluation[[#This Row],[Actual Risk - 
G-6f]]=""),0,VLOOKUP(Risk_Evaluation[[#This Row],[Actual Risk - 
G-6f]],_DATA!$H$3:$I$7,2,FALSE)-VLOOKUP('SL-T'!$B$18,_DATA!$H$3:$I$7,2,FALSE))</f>
        <v>0</v>
      </c>
      <c r="AG29" s="114"/>
      <c r="AH29" s="115"/>
    </row>
    <row r="30" spans="1:34">
      <c r="A30" s="108" t="str">
        <f>Attacker_Threat_Zone[[#This Row],[Threat Name]]</f>
        <v>G 0.45 Data Loss</v>
      </c>
      <c r="B30" s="97" t="str">
        <f>IF(ISBLANK(Attacker_Threat_Zone[[#This Row],[Relevance]]),"No",Attacker_Threat_Zone[[#This Row],[Relevance]])</f>
        <v>No</v>
      </c>
      <c r="C30" s="109"/>
      <c r="D30" s="109"/>
      <c r="E30" s="152" t="str">
        <f>VLOOKUP(Risk_Evaluation[[#This Row],[Threat Catalogue]],_3_3_OVERVIEW_PRE!$A$7:$B$66,2,FALSE)</f>
        <v/>
      </c>
      <c r="F30" s="151"/>
      <c r="G30" s="193" t="str">
        <f>IF(ISBLANK(Attacker_Threat_Zone[[#This Row],[Exposure]]),"",Attacker_Threat_Zone[[#This Row],[Exposure]])</f>
        <v/>
      </c>
      <c r="H30" s="110"/>
      <c r="I30" s="193" t="str">
        <f>IF(ISBLANK(Attacker_Threat_Zone[[#This Row],[Vulnerability]]),"",Attacker_Threat_Zone[[#This Row],[Vulnerability]])</f>
        <v/>
      </c>
      <c r="J30" s="110"/>
      <c r="K3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0" s="28" t="str">
        <f>Attacker_Threat_Zone[[#This Row],[Impact
Max]]</f>
        <v xml:space="preserve"> </v>
      </c>
      <c r="M30" s="110"/>
      <c r="N30" s="99" t="str" cm="1">
        <f t="array" ref="N3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0" s="99">
        <f>IF(OR('SL-T'!$B$18="",Risk_Evaluation[[#This Row],[Actual Risk - 
G-6b]]=""),0,VLOOKUP(Risk_Evaluation[[#This Row],[Actual Risk - 
G-6b]],_DATA!$H$3:$I$7,2,FALSE)-VLOOKUP('SL-T'!$B$18,_DATA!$H$3:$I$7,2,FALSE))</f>
        <v>0</v>
      </c>
      <c r="P30" s="100" t="str">
        <f>VLOOKUP(Risk_Evaluation[[#This Row],[Threat Catalogue]],_3_3_OVERVIEW_MITIGATING!$A$7:$B$66,2,FALSE)</f>
        <v/>
      </c>
      <c r="Q30" s="101"/>
      <c r="R30" s="110"/>
      <c r="S30" s="110"/>
      <c r="T3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0" s="110"/>
      <c r="V30" s="111" t="str">
        <f t="array" ref="V3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0" s="103">
        <f>IF(OR('SL-T'!$B$18="",Risk_Evaluation[[#This Row],[Actual Risk - 
G-6d]]=""),0,VLOOKUP(Risk_Evaluation[[#This Row],[Actual Risk - 
G-6d]],_DATA!$H$3:$I$7,2,FALSE)-VLOOKUP('SL-T'!$B$18,_DATA!$H$3:$I$7,2,FALSE))</f>
        <v>0</v>
      </c>
      <c r="X30" s="137" t="str">
        <f>VLOOKUP(Risk_Evaluation[[#This Row],[Threat Catalogue]],_2_1_OVERVIEW!$A$7:$B$66,2,FALSE)</f>
        <v/>
      </c>
      <c r="Y30" s="104"/>
      <c r="Z30" s="141"/>
      <c r="AA30" s="112"/>
      <c r="AB30" s="112"/>
      <c r="AC3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0" s="112"/>
      <c r="AE30" s="113" t="str">
        <f t="array" ref="AE3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0" s="106">
        <f>IF(OR('SL-T'!$B$18="",Risk_Evaluation[[#This Row],[Actual Risk - 
G-6f]]=""),0,VLOOKUP(Risk_Evaluation[[#This Row],[Actual Risk - 
G-6f]],_DATA!$H$3:$I$7,2,FALSE)-VLOOKUP('SL-T'!$B$18,_DATA!$H$3:$I$7,2,FALSE))</f>
        <v>0</v>
      </c>
      <c r="AG30" s="114"/>
      <c r="AH30" s="115"/>
    </row>
    <row r="31" spans="1:34">
      <c r="A31" s="108" t="str">
        <f>Attacker_Threat_Zone[[#This Row],[Threat Name]]</f>
        <v>G 0.46 Loss of Integrity of Sensitive Information</v>
      </c>
      <c r="B31" s="97" t="str">
        <f>IF(ISBLANK(Attacker_Threat_Zone[[#This Row],[Relevance]]),"No",Attacker_Threat_Zone[[#This Row],[Relevance]])</f>
        <v>No</v>
      </c>
      <c r="C31" s="109"/>
      <c r="D31" s="109"/>
      <c r="E31" s="152" t="str">
        <f>VLOOKUP(Risk_Evaluation[[#This Row],[Threat Catalogue]],_3_3_OVERVIEW_PRE!$A$7:$B$66,2,FALSE)</f>
        <v/>
      </c>
      <c r="F31" s="151"/>
      <c r="G31" s="193" t="str">
        <f>IF(ISBLANK(Attacker_Threat_Zone[[#This Row],[Exposure]]),"",Attacker_Threat_Zone[[#This Row],[Exposure]])</f>
        <v/>
      </c>
      <c r="H31" s="110"/>
      <c r="I31" s="193" t="str">
        <f>IF(ISBLANK(Attacker_Threat_Zone[[#This Row],[Vulnerability]]),"",Attacker_Threat_Zone[[#This Row],[Vulnerability]])</f>
        <v/>
      </c>
      <c r="J31" s="110"/>
      <c r="K3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1" s="28" t="str">
        <f>Attacker_Threat_Zone[[#This Row],[Impact
Max]]</f>
        <v xml:space="preserve"> </v>
      </c>
      <c r="M31" s="110"/>
      <c r="N31" s="99" t="str" cm="1">
        <f t="array" ref="N3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1" s="99">
        <f>IF(OR('SL-T'!$B$18="",Risk_Evaluation[[#This Row],[Actual Risk - 
G-6b]]=""),0,VLOOKUP(Risk_Evaluation[[#This Row],[Actual Risk - 
G-6b]],_DATA!$H$3:$I$7,2,FALSE)-VLOOKUP('SL-T'!$B$18,_DATA!$H$3:$I$7,2,FALSE))</f>
        <v>0</v>
      </c>
      <c r="P31" s="100" t="str">
        <f>VLOOKUP(Risk_Evaluation[[#This Row],[Threat Catalogue]],_3_3_OVERVIEW_MITIGATING!$A$7:$B$66,2,FALSE)</f>
        <v/>
      </c>
      <c r="Q31" s="101"/>
      <c r="R31" s="110"/>
      <c r="S31" s="110"/>
      <c r="T3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1" s="110"/>
      <c r="V31" s="111" t="str">
        <f t="array" ref="V3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1" s="103">
        <f>IF(OR('SL-T'!$B$18="",Risk_Evaluation[[#This Row],[Actual Risk - 
G-6d]]=""),0,VLOOKUP(Risk_Evaluation[[#This Row],[Actual Risk - 
G-6d]],_DATA!$H$3:$I$7,2,FALSE)-VLOOKUP('SL-T'!$B$18,_DATA!$H$3:$I$7,2,FALSE))</f>
        <v>0</v>
      </c>
      <c r="X31" s="137" t="str">
        <f>VLOOKUP(Risk_Evaluation[[#This Row],[Threat Catalogue]],_2_1_OVERVIEW!$A$7:$B$66,2,FALSE)</f>
        <v/>
      </c>
      <c r="Y31" s="104"/>
      <c r="Z31" s="141"/>
      <c r="AA31" s="112"/>
      <c r="AB31" s="112"/>
      <c r="AC3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1" s="112"/>
      <c r="AE31" s="113" t="str">
        <f t="array" ref="AE3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1" s="106">
        <f>IF(OR('SL-T'!$B$18="",Risk_Evaluation[[#This Row],[Actual Risk - 
G-6f]]=""),0,VLOOKUP(Risk_Evaluation[[#This Row],[Actual Risk - 
G-6f]],_DATA!$H$3:$I$7,2,FALSE)-VLOOKUP('SL-T'!$B$18,_DATA!$H$3:$I$7,2,FALSE))</f>
        <v>0</v>
      </c>
      <c r="AG31" s="114"/>
      <c r="AH31" s="115"/>
    </row>
    <row r="32" spans="1:34" ht="28.8">
      <c r="A32" s="108" t="str">
        <f>Attacker_Threat_Zone[[#This Row],[Threat Name]]</f>
        <v>G 0.47 Harmful Side Effects of IT-Supported Attacks</v>
      </c>
      <c r="B32" s="97" t="str">
        <f>IF(ISBLANK(Attacker_Threat_Zone[[#This Row],[Relevance]]),"No",Attacker_Threat_Zone[[#This Row],[Relevance]])</f>
        <v>No</v>
      </c>
      <c r="C32" s="109"/>
      <c r="D32" s="109"/>
      <c r="E32" s="152" t="str">
        <f>VLOOKUP(Risk_Evaluation[[#This Row],[Threat Catalogue]],_3_3_OVERVIEW_PRE!$A$7:$B$66,2,FALSE)</f>
        <v/>
      </c>
      <c r="F32" s="151"/>
      <c r="G32" s="193" t="str">
        <f>IF(ISBLANK(Attacker_Threat_Zone[[#This Row],[Exposure]]),"",Attacker_Threat_Zone[[#This Row],[Exposure]])</f>
        <v/>
      </c>
      <c r="H32" s="110"/>
      <c r="I32" s="193" t="str">
        <f>IF(ISBLANK(Attacker_Threat_Zone[[#This Row],[Vulnerability]]),"",Attacker_Threat_Zone[[#This Row],[Vulnerability]])</f>
        <v/>
      </c>
      <c r="J32" s="110"/>
      <c r="K3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2" s="28" t="str">
        <f>Attacker_Threat_Zone[[#This Row],[Impact
Max]]</f>
        <v xml:space="preserve"> </v>
      </c>
      <c r="M32" s="110"/>
      <c r="N32" s="99" t="str" cm="1">
        <f t="array" ref="N3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2" s="99">
        <f>IF(OR('SL-T'!$B$18="",Risk_Evaluation[[#This Row],[Actual Risk - 
G-6b]]=""),0,VLOOKUP(Risk_Evaluation[[#This Row],[Actual Risk - 
G-6b]],_DATA!$H$3:$I$7,2,FALSE)-VLOOKUP('SL-T'!$B$18,_DATA!$H$3:$I$7,2,FALSE))</f>
        <v>0</v>
      </c>
      <c r="P32" s="100" t="str">
        <f>VLOOKUP(Risk_Evaluation[[#This Row],[Threat Catalogue]],_3_3_OVERVIEW_MITIGATING!$A$7:$B$66,2,FALSE)</f>
        <v/>
      </c>
      <c r="Q32" s="101"/>
      <c r="R32" s="110"/>
      <c r="S32" s="110"/>
      <c r="T3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2" s="110"/>
      <c r="V32" s="111" t="str">
        <f t="array" ref="V3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2" s="103">
        <f>IF(OR('SL-T'!$B$18="",Risk_Evaluation[[#This Row],[Actual Risk - 
G-6d]]=""),0,VLOOKUP(Risk_Evaluation[[#This Row],[Actual Risk - 
G-6d]],_DATA!$H$3:$I$7,2,FALSE)-VLOOKUP('SL-T'!$B$18,_DATA!$H$3:$I$7,2,FALSE))</f>
        <v>0</v>
      </c>
      <c r="X32" s="137" t="str">
        <f>VLOOKUP(Risk_Evaluation[[#This Row],[Threat Catalogue]],_2_1_OVERVIEW!$A$7:$B$66,2,FALSE)</f>
        <v/>
      </c>
      <c r="Y32" s="104"/>
      <c r="Z32" s="141"/>
      <c r="AA32" s="112"/>
      <c r="AB32" s="112"/>
      <c r="AC3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2" s="112"/>
      <c r="AE32" s="113" t="str">
        <f t="array" ref="AE3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2" s="106">
        <f>IF(OR('SL-T'!$B$18="",Risk_Evaluation[[#This Row],[Actual Risk - 
G-6f]]=""),0,VLOOKUP(Risk_Evaluation[[#This Row],[Actual Risk - 
G-6f]],_DATA!$H$3:$I$7,2,FALSE)-VLOOKUP('SL-T'!$B$18,_DATA!$H$3:$I$7,2,FALSE))</f>
        <v>0</v>
      </c>
      <c r="AG32" s="114"/>
      <c r="AH32" s="115"/>
    </row>
    <row r="33" spans="1:34" ht="28.8">
      <c r="A33" s="108" t="str">
        <f>Attacker_Threat_Zone[[#This Row],[Threat Name]]</f>
        <v>IND.1.2 Insufficient integration of OT into the security organisation</v>
      </c>
      <c r="B33" s="97" t="str">
        <f>IF(ISBLANK(Attacker_Threat_Zone[[#This Row],[Relevance]]),"No",Attacker_Threat_Zone[[#This Row],[Relevance]])</f>
        <v>No</v>
      </c>
      <c r="C33" s="109"/>
      <c r="D33" s="109"/>
      <c r="E33" s="152" t="str">
        <f>VLOOKUP(Risk_Evaluation[[#This Row],[Threat Catalogue]],_3_3_OVERVIEW_PRE!$A$7:$B$66,2,FALSE)</f>
        <v/>
      </c>
      <c r="F33" s="151"/>
      <c r="G33" s="193" t="str">
        <f>IF(ISBLANK(Attacker_Threat_Zone[[#This Row],[Exposure]]),"",Attacker_Threat_Zone[[#This Row],[Exposure]])</f>
        <v/>
      </c>
      <c r="H33" s="110"/>
      <c r="I33" s="193" t="str">
        <f>IF(ISBLANK(Attacker_Threat_Zone[[#This Row],[Vulnerability]]),"",Attacker_Threat_Zone[[#This Row],[Vulnerability]])</f>
        <v/>
      </c>
      <c r="J33" s="110"/>
      <c r="K3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3" s="28" t="str">
        <f>Attacker_Threat_Zone[[#This Row],[Impact
Max]]</f>
        <v xml:space="preserve"> </v>
      </c>
      <c r="M33" s="110"/>
      <c r="N33" s="99" t="str" cm="1">
        <f t="array" ref="N3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3" s="99">
        <f>IF(OR('SL-T'!$B$18="",Risk_Evaluation[[#This Row],[Actual Risk - 
G-6b]]=""),0,VLOOKUP(Risk_Evaluation[[#This Row],[Actual Risk - 
G-6b]],_DATA!$H$3:$I$7,2,FALSE)-VLOOKUP('SL-T'!$B$18,_DATA!$H$3:$I$7,2,FALSE))</f>
        <v>0</v>
      </c>
      <c r="P33" s="100" t="str">
        <f>VLOOKUP(Risk_Evaluation[[#This Row],[Threat Catalogue]],_3_3_OVERVIEW_MITIGATING!$A$7:$B$66,2,FALSE)</f>
        <v/>
      </c>
      <c r="Q33" s="101"/>
      <c r="R33" s="110"/>
      <c r="S33" s="110"/>
      <c r="T3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3" s="110"/>
      <c r="V33" s="111" t="str">
        <f t="array" ref="V3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3" s="103">
        <f>IF(OR('SL-T'!$B$18="",Risk_Evaluation[[#This Row],[Actual Risk - 
G-6d]]=""),0,VLOOKUP(Risk_Evaluation[[#This Row],[Actual Risk - 
G-6d]],_DATA!$H$3:$I$7,2,FALSE)-VLOOKUP('SL-T'!$B$18,_DATA!$H$3:$I$7,2,FALSE))</f>
        <v>0</v>
      </c>
      <c r="X33" s="137" t="str">
        <f>VLOOKUP(Risk_Evaluation[[#This Row],[Threat Catalogue]],_2_1_OVERVIEW!$A$7:$B$66,2,FALSE)</f>
        <v/>
      </c>
      <c r="Y33" s="104"/>
      <c r="Z33" s="141"/>
      <c r="AA33" s="112"/>
      <c r="AB33" s="112"/>
      <c r="AC3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3" s="112"/>
      <c r="AE33" s="113" t="str">
        <f t="array" ref="AE3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3" s="106">
        <f>IF(OR('SL-T'!$B$18="",Risk_Evaluation[[#This Row],[Actual Risk - 
G-6f]]=""),0,VLOOKUP(Risk_Evaluation[[#This Row],[Actual Risk - 
G-6f]],_DATA!$H$3:$I$7,2,FALSE)-VLOOKUP('SL-T'!$B$18,_DATA!$H$3:$I$7,2,FALSE))</f>
        <v>0</v>
      </c>
      <c r="AG33" s="114"/>
      <c r="AH33" s="115"/>
    </row>
    <row r="34" spans="1:34" ht="28.8">
      <c r="A34" s="108" t="str">
        <f>Attacker_Threat_Zone[[#This Row],[Threat Name]]</f>
        <v>IND.1.3 Insufficient integration of OT into operational processes</v>
      </c>
      <c r="B34" s="97" t="str">
        <f>IF(ISBLANK(Attacker_Threat_Zone[[#This Row],[Relevance]]),"No",Attacker_Threat_Zone[[#This Row],[Relevance]])</f>
        <v>No</v>
      </c>
      <c r="C34" s="109"/>
      <c r="D34" s="109"/>
      <c r="E34" s="152" t="str">
        <f>VLOOKUP(Risk_Evaluation[[#This Row],[Threat Catalogue]],_3_3_OVERVIEW_PRE!$A$7:$B$66,2,FALSE)</f>
        <v/>
      </c>
      <c r="F34" s="151"/>
      <c r="G34" s="193" t="str">
        <f>IF(ISBLANK(Attacker_Threat_Zone[[#This Row],[Exposure]]),"",Attacker_Threat_Zone[[#This Row],[Exposure]])</f>
        <v/>
      </c>
      <c r="H34" s="110"/>
      <c r="I34" s="193" t="str">
        <f>IF(ISBLANK(Attacker_Threat_Zone[[#This Row],[Vulnerability]]),"",Attacker_Threat_Zone[[#This Row],[Vulnerability]])</f>
        <v/>
      </c>
      <c r="J34" s="110"/>
      <c r="K3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4" s="28" t="str">
        <f>Attacker_Threat_Zone[[#This Row],[Impact
Max]]</f>
        <v xml:space="preserve"> </v>
      </c>
      <c r="M34" s="110"/>
      <c r="N34" s="99" t="str" cm="1">
        <f t="array" ref="N3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4" s="99">
        <f>IF(OR('SL-T'!$B$18="",Risk_Evaluation[[#This Row],[Actual Risk - 
G-6b]]=""),0,VLOOKUP(Risk_Evaluation[[#This Row],[Actual Risk - 
G-6b]],_DATA!$H$3:$I$7,2,FALSE)-VLOOKUP('SL-T'!$B$18,_DATA!$H$3:$I$7,2,FALSE))</f>
        <v>0</v>
      </c>
      <c r="P34" s="100" t="str">
        <f>VLOOKUP(Risk_Evaluation[[#This Row],[Threat Catalogue]],_3_3_OVERVIEW_MITIGATING!$A$7:$B$66,2,FALSE)</f>
        <v/>
      </c>
      <c r="Q34" s="101"/>
      <c r="R34" s="110"/>
      <c r="S34" s="110"/>
      <c r="T3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4" s="110"/>
      <c r="V34" s="111" t="str">
        <f t="array" ref="V3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4" s="103">
        <f>IF(OR('SL-T'!$B$18="",Risk_Evaluation[[#This Row],[Actual Risk - 
G-6d]]=""),0,VLOOKUP(Risk_Evaluation[[#This Row],[Actual Risk - 
G-6d]],_DATA!$H$3:$I$7,2,FALSE)-VLOOKUP('SL-T'!$B$18,_DATA!$H$3:$I$7,2,FALSE))</f>
        <v>0</v>
      </c>
      <c r="X34" s="137" t="str">
        <f>VLOOKUP(Risk_Evaluation[[#This Row],[Threat Catalogue]],_2_1_OVERVIEW!$A$7:$B$66,2,FALSE)</f>
        <v/>
      </c>
      <c r="Y34" s="104"/>
      <c r="Z34" s="141"/>
      <c r="AA34" s="112"/>
      <c r="AB34" s="112"/>
      <c r="AC3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4" s="112"/>
      <c r="AE34" s="113" t="str">
        <f t="array" ref="AE3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4" s="106">
        <f>IF(OR('SL-T'!$B$18="",Risk_Evaluation[[#This Row],[Actual Risk - 
G-6f]]=""),0,VLOOKUP(Risk_Evaluation[[#This Row],[Actual Risk - 
G-6f]],_DATA!$H$3:$I$7,2,FALSE)-VLOOKUP('SL-T'!$B$18,_DATA!$H$3:$I$7,2,FALSE))</f>
        <v>0</v>
      </c>
      <c r="AG34" s="114"/>
      <c r="AH34" s="115"/>
    </row>
    <row r="35" spans="1:34">
      <c r="A35" s="108" t="str">
        <f>Attacker_Threat_Zone[[#This Row],[Threat Name]]</f>
        <v>IND.1.4 Insufficient access protection</v>
      </c>
      <c r="B35" s="97" t="str">
        <f>IF(ISBLANK(Attacker_Threat_Zone[[#This Row],[Relevance]]),"No",Attacker_Threat_Zone[[#This Row],[Relevance]])</f>
        <v>No</v>
      </c>
      <c r="C35" s="109"/>
      <c r="D35" s="109"/>
      <c r="E35" s="152" t="str">
        <f>VLOOKUP(Risk_Evaluation[[#This Row],[Threat Catalogue]],_3_3_OVERVIEW_PRE!$A$7:$B$66,2,FALSE)</f>
        <v/>
      </c>
      <c r="F35" s="151"/>
      <c r="G35" s="193" t="str">
        <f>IF(ISBLANK(Attacker_Threat_Zone[[#This Row],[Exposure]]),"",Attacker_Threat_Zone[[#This Row],[Exposure]])</f>
        <v/>
      </c>
      <c r="H35" s="110"/>
      <c r="I35" s="193" t="str">
        <f>IF(ISBLANK(Attacker_Threat_Zone[[#This Row],[Vulnerability]]),"",Attacker_Threat_Zone[[#This Row],[Vulnerability]])</f>
        <v/>
      </c>
      <c r="J35" s="110"/>
      <c r="K35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5" s="28" t="str">
        <f>Attacker_Threat_Zone[[#This Row],[Impact
Max]]</f>
        <v xml:space="preserve"> </v>
      </c>
      <c r="M35" s="110"/>
      <c r="N35" s="99" t="str" cm="1">
        <f t="array" ref="N3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5" s="99">
        <f>IF(OR('SL-T'!$B$18="",Risk_Evaluation[[#This Row],[Actual Risk - 
G-6b]]=""),0,VLOOKUP(Risk_Evaluation[[#This Row],[Actual Risk - 
G-6b]],_DATA!$H$3:$I$7,2,FALSE)-VLOOKUP('SL-T'!$B$18,_DATA!$H$3:$I$7,2,FALSE))</f>
        <v>0</v>
      </c>
      <c r="P35" s="100" t="str">
        <f>VLOOKUP(Risk_Evaluation[[#This Row],[Threat Catalogue]],_3_3_OVERVIEW_MITIGATING!$A$7:$B$66,2,FALSE)</f>
        <v/>
      </c>
      <c r="Q35" s="101"/>
      <c r="R35" s="110"/>
      <c r="S35" s="110"/>
      <c r="T35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5" s="110"/>
      <c r="V35" s="111" t="str">
        <f t="array" ref="V35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5" s="103">
        <f>IF(OR('SL-T'!$B$18="",Risk_Evaluation[[#This Row],[Actual Risk - 
G-6d]]=""),0,VLOOKUP(Risk_Evaluation[[#This Row],[Actual Risk - 
G-6d]],_DATA!$H$3:$I$7,2,FALSE)-VLOOKUP('SL-T'!$B$18,_DATA!$H$3:$I$7,2,FALSE))</f>
        <v>0</v>
      </c>
      <c r="X35" s="137" t="str">
        <f>VLOOKUP(Risk_Evaluation[[#This Row],[Threat Catalogue]],_2_1_OVERVIEW!$A$7:$B$66,2,FALSE)</f>
        <v/>
      </c>
      <c r="Y35" s="104"/>
      <c r="Z35" s="141"/>
      <c r="AA35" s="112"/>
      <c r="AB35" s="112"/>
      <c r="AC35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5" s="112"/>
      <c r="AE35" s="113" t="str">
        <f t="array" ref="AE35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5" s="106">
        <f>IF(OR('SL-T'!$B$18="",Risk_Evaluation[[#This Row],[Actual Risk - 
G-6f]]=""),0,VLOOKUP(Risk_Evaluation[[#This Row],[Actual Risk - 
G-6f]],_DATA!$H$3:$I$7,2,FALSE)-VLOOKUP('SL-T'!$B$18,_DATA!$H$3:$I$7,2,FALSE))</f>
        <v>0</v>
      </c>
      <c r="AG35" s="114"/>
      <c r="AH35" s="115"/>
    </row>
    <row r="36" spans="1:34" ht="28.8">
      <c r="A36" s="108" t="str">
        <f>Attacker_Threat_Zone[[#This Row],[Threat Name]]</f>
        <v>IND.1.5 Unsecure project planning process/application development process</v>
      </c>
      <c r="B36" s="97" t="str">
        <f>IF(ISBLANK(Attacker_Threat_Zone[[#This Row],[Relevance]]),"No",Attacker_Threat_Zone[[#This Row],[Relevance]])</f>
        <v>No</v>
      </c>
      <c r="C36" s="109"/>
      <c r="D36" s="109"/>
      <c r="E36" s="152" t="str">
        <f>VLOOKUP(Risk_Evaluation[[#This Row],[Threat Catalogue]],_3_3_OVERVIEW_PRE!$A$7:$B$66,2,FALSE)</f>
        <v/>
      </c>
      <c r="F36" s="151"/>
      <c r="G36" s="193" t="str">
        <f>IF(ISBLANK(Attacker_Threat_Zone[[#This Row],[Exposure]]),"",Attacker_Threat_Zone[[#This Row],[Exposure]])</f>
        <v/>
      </c>
      <c r="H36" s="110"/>
      <c r="I36" s="193" t="str">
        <f>IF(ISBLANK(Attacker_Threat_Zone[[#This Row],[Vulnerability]]),"",Attacker_Threat_Zone[[#This Row],[Vulnerability]])</f>
        <v/>
      </c>
      <c r="J36" s="110"/>
      <c r="K36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6" s="28" t="str">
        <f>Attacker_Threat_Zone[[#This Row],[Impact
Max]]</f>
        <v xml:space="preserve"> </v>
      </c>
      <c r="M36" s="110"/>
      <c r="N36" s="99" t="str" cm="1">
        <f t="array" ref="N3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6" s="99">
        <f>IF(OR('SL-T'!$B$18="",Risk_Evaluation[[#This Row],[Actual Risk - 
G-6b]]=""),0,VLOOKUP(Risk_Evaluation[[#This Row],[Actual Risk - 
G-6b]],_DATA!$H$3:$I$7,2,FALSE)-VLOOKUP('SL-T'!$B$18,_DATA!$H$3:$I$7,2,FALSE))</f>
        <v>0</v>
      </c>
      <c r="P36" s="100" t="str">
        <f>VLOOKUP(Risk_Evaluation[[#This Row],[Threat Catalogue]],_3_3_OVERVIEW_MITIGATING!$A$7:$B$66,2,FALSE)</f>
        <v/>
      </c>
      <c r="Q36" s="101"/>
      <c r="R36" s="110"/>
      <c r="S36" s="110"/>
      <c r="T36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6" s="110"/>
      <c r="V36" s="111" t="str">
        <f t="array" ref="V3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6" s="103">
        <f>IF(OR('SL-T'!$B$18="",Risk_Evaluation[[#This Row],[Actual Risk - 
G-6d]]=""),0,VLOOKUP(Risk_Evaluation[[#This Row],[Actual Risk - 
G-6d]],_DATA!$H$3:$I$7,2,FALSE)-VLOOKUP('SL-T'!$B$18,_DATA!$H$3:$I$7,2,FALSE))</f>
        <v>0</v>
      </c>
      <c r="X36" s="137" t="str">
        <f>VLOOKUP(Risk_Evaluation[[#This Row],[Threat Catalogue]],_2_1_OVERVIEW!$A$7:$B$66,2,FALSE)</f>
        <v/>
      </c>
      <c r="Y36" s="104"/>
      <c r="Z36" s="141"/>
      <c r="AA36" s="112"/>
      <c r="AB36" s="112"/>
      <c r="AC36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6" s="112"/>
      <c r="AE36" s="113" t="str">
        <f t="array" ref="AE3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6" s="106">
        <f>IF(OR('SL-T'!$B$18="",Risk_Evaluation[[#This Row],[Actual Risk - 
G-6f]]=""),0,VLOOKUP(Risk_Evaluation[[#This Row],[Actual Risk - 
G-6f]],_DATA!$H$3:$I$7,2,FALSE)-VLOOKUP('SL-T'!$B$18,_DATA!$H$3:$I$7,2,FALSE))</f>
        <v>0</v>
      </c>
      <c r="AG36" s="114"/>
      <c r="AH36" s="115"/>
    </row>
    <row r="37" spans="1:34" ht="28.8">
      <c r="A37" s="108" t="str">
        <f>Attacker_Threat_Zone[[#This Row],[Threat Name]]</f>
        <v>IND.1.6 Unsecure administration concept and remote administration</v>
      </c>
      <c r="B37" s="97" t="str">
        <f>IF(ISBLANK(Attacker_Threat_Zone[[#This Row],[Relevance]]),"No",Attacker_Threat_Zone[[#This Row],[Relevance]])</f>
        <v>No</v>
      </c>
      <c r="C37" s="109"/>
      <c r="D37" s="109"/>
      <c r="E37" s="152" t="str">
        <f>VLOOKUP(Risk_Evaluation[[#This Row],[Threat Catalogue]],_3_3_OVERVIEW_PRE!$A$7:$B$66,2,FALSE)</f>
        <v/>
      </c>
      <c r="F37" s="151"/>
      <c r="G37" s="193" t="str">
        <f>IF(ISBLANK(Attacker_Threat_Zone[[#This Row],[Exposure]]),"",Attacker_Threat_Zone[[#This Row],[Exposure]])</f>
        <v/>
      </c>
      <c r="H37" s="110"/>
      <c r="I37" s="193" t="str">
        <f>IF(ISBLANK(Attacker_Threat_Zone[[#This Row],[Vulnerability]]),"",Attacker_Threat_Zone[[#This Row],[Vulnerability]])</f>
        <v/>
      </c>
      <c r="J37" s="110"/>
      <c r="K37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7" s="28" t="str">
        <f>Attacker_Threat_Zone[[#This Row],[Impact
Max]]</f>
        <v xml:space="preserve"> </v>
      </c>
      <c r="M37" s="110"/>
      <c r="N37" s="99" t="str" cm="1">
        <f t="array" ref="N3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7" s="99">
        <f>IF(OR('SL-T'!$B$18="",Risk_Evaluation[[#This Row],[Actual Risk - 
G-6b]]=""),0,VLOOKUP(Risk_Evaluation[[#This Row],[Actual Risk - 
G-6b]],_DATA!$H$3:$I$7,2,FALSE)-VLOOKUP('SL-T'!$B$18,_DATA!$H$3:$I$7,2,FALSE))</f>
        <v>0</v>
      </c>
      <c r="P37" s="100" t="str">
        <f>VLOOKUP(Risk_Evaluation[[#This Row],[Threat Catalogue]],_3_3_OVERVIEW_MITIGATING!$A$7:$B$66,2,FALSE)</f>
        <v/>
      </c>
      <c r="Q37" s="101"/>
      <c r="R37" s="110"/>
      <c r="S37" s="110"/>
      <c r="T3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7" s="110"/>
      <c r="V37" s="111" t="str">
        <f t="array" ref="V3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7" s="103">
        <f>IF(OR('SL-T'!$B$18="",Risk_Evaluation[[#This Row],[Actual Risk - 
G-6d]]=""),0,VLOOKUP(Risk_Evaluation[[#This Row],[Actual Risk - 
G-6d]],_DATA!$H$3:$I$7,2,FALSE)-VLOOKUP('SL-T'!$B$18,_DATA!$H$3:$I$7,2,FALSE))</f>
        <v>0</v>
      </c>
      <c r="X37" s="137" t="str">
        <f>VLOOKUP(Risk_Evaluation[[#This Row],[Threat Catalogue]],_2_1_OVERVIEW!$A$7:$B$66,2,FALSE)</f>
        <v/>
      </c>
      <c r="Y37" s="104"/>
      <c r="Z37" s="141"/>
      <c r="AA37" s="112"/>
      <c r="AB37" s="112"/>
      <c r="AC3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7" s="112"/>
      <c r="AE37" s="113" t="str">
        <f t="array" ref="AE3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7" s="106">
        <f>IF(OR('SL-T'!$B$18="",Risk_Evaluation[[#This Row],[Actual Risk - 
G-6f]]=""),0,VLOOKUP(Risk_Evaluation[[#This Row],[Actual Risk - 
G-6f]],_DATA!$H$3:$I$7,2,FALSE)-VLOOKUP('SL-T'!$B$18,_DATA!$H$3:$I$7,2,FALSE))</f>
        <v>0</v>
      </c>
      <c r="AG37" s="114"/>
      <c r="AH37" s="115"/>
    </row>
    <row r="38" spans="1:34" ht="28.8">
      <c r="A38" s="108" t="str">
        <f>Attacker_Threat_Zone[[#This Row],[Threat Name]]</f>
        <v>IND.1.7 Insufficient monitoring and detection procedures</v>
      </c>
      <c r="B38" s="97" t="str">
        <f>IF(ISBLANK(Attacker_Threat_Zone[[#This Row],[Relevance]]),"No",Attacker_Threat_Zone[[#This Row],[Relevance]])</f>
        <v>No</v>
      </c>
      <c r="C38" s="109"/>
      <c r="D38" s="109"/>
      <c r="E38" s="152" t="str">
        <f>VLOOKUP(Risk_Evaluation[[#This Row],[Threat Catalogue]],_3_3_OVERVIEW_PRE!$A$7:$B$66,2,FALSE)</f>
        <v/>
      </c>
      <c r="F38" s="151"/>
      <c r="G38" s="193" t="str">
        <f>IF(ISBLANK(Attacker_Threat_Zone[[#This Row],[Exposure]]),"",Attacker_Threat_Zone[[#This Row],[Exposure]])</f>
        <v/>
      </c>
      <c r="H38" s="110"/>
      <c r="I38" s="193" t="str">
        <f>IF(ISBLANK(Attacker_Threat_Zone[[#This Row],[Vulnerability]]),"",Attacker_Threat_Zone[[#This Row],[Vulnerability]])</f>
        <v/>
      </c>
      <c r="J38" s="110"/>
      <c r="K38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8" s="28" t="str">
        <f>Attacker_Threat_Zone[[#This Row],[Impact
Max]]</f>
        <v xml:space="preserve"> </v>
      </c>
      <c r="M38" s="110"/>
      <c r="N38" s="99" t="str" cm="1">
        <f t="array" ref="N3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8" s="99">
        <f>IF(OR('SL-T'!$B$18="",Risk_Evaluation[[#This Row],[Actual Risk - 
G-6b]]=""),0,VLOOKUP(Risk_Evaluation[[#This Row],[Actual Risk - 
G-6b]],_DATA!$H$3:$I$7,2,FALSE)-VLOOKUP('SL-T'!$B$18,_DATA!$H$3:$I$7,2,FALSE))</f>
        <v>0</v>
      </c>
      <c r="P38" s="100" t="str">
        <f>VLOOKUP(Risk_Evaluation[[#This Row],[Threat Catalogue]],_3_3_OVERVIEW_MITIGATING!$A$7:$B$66,2,FALSE)</f>
        <v/>
      </c>
      <c r="Q38" s="101"/>
      <c r="R38" s="110"/>
      <c r="S38" s="110"/>
      <c r="T3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8" s="110"/>
      <c r="V38" s="111" t="str">
        <f t="array" ref="V3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8" s="103">
        <f>IF(OR('SL-T'!$B$18="",Risk_Evaluation[[#This Row],[Actual Risk - 
G-6d]]=""),0,VLOOKUP(Risk_Evaluation[[#This Row],[Actual Risk - 
G-6d]],_DATA!$H$3:$I$7,2,FALSE)-VLOOKUP('SL-T'!$B$18,_DATA!$H$3:$I$7,2,FALSE))</f>
        <v>0</v>
      </c>
      <c r="X38" s="137" t="str">
        <f>VLOOKUP(Risk_Evaluation[[#This Row],[Threat Catalogue]],_2_1_OVERVIEW!$A$7:$B$66,2,FALSE)</f>
        <v/>
      </c>
      <c r="Y38" s="104"/>
      <c r="Z38" s="141"/>
      <c r="AA38" s="112"/>
      <c r="AB38" s="112"/>
      <c r="AC3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8" s="112"/>
      <c r="AE38" s="113" t="str">
        <f t="array" ref="AE3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8" s="106">
        <f>IF(OR('SL-T'!$B$18="",Risk_Evaluation[[#This Row],[Actual Risk - 
G-6f]]=""),0,VLOOKUP(Risk_Evaluation[[#This Row],[Actual Risk - 
G-6f]],_DATA!$H$3:$I$7,2,FALSE)-VLOOKUP('SL-T'!$B$18,_DATA!$H$3:$I$7,2,FALSE))</f>
        <v>0</v>
      </c>
      <c r="AG38" s="114"/>
      <c r="AH38" s="115"/>
    </row>
    <row r="39" spans="1:34">
      <c r="A39" s="108" t="str">
        <f>Attacker_Threat_Zone[[#This Row],[Threat Name]]</f>
        <v>IND.1.8 Insufficient test concept</v>
      </c>
      <c r="B39" s="97" t="str">
        <f>IF(ISBLANK(Attacker_Threat_Zone[[#This Row],[Relevance]]),"No",Attacker_Threat_Zone[[#This Row],[Relevance]])</f>
        <v>No</v>
      </c>
      <c r="C39" s="109"/>
      <c r="D39" s="109"/>
      <c r="E39" s="152" t="str">
        <f>VLOOKUP(Risk_Evaluation[[#This Row],[Threat Catalogue]],_3_3_OVERVIEW_PRE!$A$7:$B$66,2,FALSE)</f>
        <v/>
      </c>
      <c r="F39" s="151"/>
      <c r="G39" s="193" t="str">
        <f>IF(ISBLANK(Attacker_Threat_Zone[[#This Row],[Exposure]]),"",Attacker_Threat_Zone[[#This Row],[Exposure]])</f>
        <v/>
      </c>
      <c r="H39" s="110"/>
      <c r="I39" s="193" t="str">
        <f>IF(ISBLANK(Attacker_Threat_Zone[[#This Row],[Vulnerability]]),"",Attacker_Threat_Zone[[#This Row],[Vulnerability]])</f>
        <v/>
      </c>
      <c r="J39" s="110"/>
      <c r="K39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39" s="28" t="str">
        <f>Attacker_Threat_Zone[[#This Row],[Impact
Max]]</f>
        <v xml:space="preserve"> </v>
      </c>
      <c r="M39" s="110"/>
      <c r="N39" s="99" t="str" cm="1">
        <f t="array" ref="N3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39" s="99">
        <f>IF(OR('SL-T'!$B$18="",Risk_Evaluation[[#This Row],[Actual Risk - 
G-6b]]=""),0,VLOOKUP(Risk_Evaluation[[#This Row],[Actual Risk - 
G-6b]],_DATA!$H$3:$I$7,2,FALSE)-VLOOKUP('SL-T'!$B$18,_DATA!$H$3:$I$7,2,FALSE))</f>
        <v>0</v>
      </c>
      <c r="P39" s="100" t="str">
        <f>VLOOKUP(Risk_Evaluation[[#This Row],[Threat Catalogue]],_3_3_OVERVIEW_MITIGATING!$A$7:$B$66,2,FALSE)</f>
        <v/>
      </c>
      <c r="Q39" s="101"/>
      <c r="R39" s="110"/>
      <c r="S39" s="110"/>
      <c r="T3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39" s="110"/>
      <c r="V39" s="111" t="str">
        <f t="array" ref="V3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39" s="103">
        <f>IF(OR('SL-T'!$B$18="",Risk_Evaluation[[#This Row],[Actual Risk - 
G-6d]]=""),0,VLOOKUP(Risk_Evaluation[[#This Row],[Actual Risk - 
G-6d]],_DATA!$H$3:$I$7,2,FALSE)-VLOOKUP('SL-T'!$B$18,_DATA!$H$3:$I$7,2,FALSE))</f>
        <v>0</v>
      </c>
      <c r="X39" s="137" t="str">
        <f>VLOOKUP(Risk_Evaluation[[#This Row],[Threat Catalogue]],_2_1_OVERVIEW!$A$7:$B$66,2,FALSE)</f>
        <v/>
      </c>
      <c r="Y39" s="104"/>
      <c r="Z39" s="141"/>
      <c r="AA39" s="112"/>
      <c r="AB39" s="112"/>
      <c r="AC3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39" s="112"/>
      <c r="AE39" s="113" t="str">
        <f t="array" ref="AE3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39" s="106">
        <f>IF(OR('SL-T'!$B$18="",Risk_Evaluation[[#This Row],[Actual Risk - 
G-6f]]=""),0,VLOOKUP(Risk_Evaluation[[#This Row],[Actual Risk - 
G-6f]],_DATA!$H$3:$I$7,2,FALSE)-VLOOKUP('SL-T'!$B$18,_DATA!$H$3:$I$7,2,FALSE))</f>
        <v>0</v>
      </c>
      <c r="AG39" s="114"/>
      <c r="AH39" s="115"/>
    </row>
    <row r="40" spans="1:34">
      <c r="A40" s="108" t="str">
        <f>Attacker_Threat_Zone[[#This Row],[Threat Name]]</f>
        <v>IND.1.9 Insufficient life cycle concepts</v>
      </c>
      <c r="B40" s="97" t="str">
        <f>IF(ISBLANK(Attacker_Threat_Zone[[#This Row],[Relevance]]),"No",Attacker_Threat_Zone[[#This Row],[Relevance]])</f>
        <v>No</v>
      </c>
      <c r="C40" s="109"/>
      <c r="D40" s="109"/>
      <c r="E40" s="152" t="str">
        <f>VLOOKUP(Risk_Evaluation[[#This Row],[Threat Catalogue]],_3_3_OVERVIEW_PRE!$A$7:$B$66,2,FALSE)</f>
        <v/>
      </c>
      <c r="F40" s="151"/>
      <c r="G40" s="193" t="str">
        <f>IF(ISBLANK(Attacker_Threat_Zone[[#This Row],[Exposure]]),"",Attacker_Threat_Zone[[#This Row],[Exposure]])</f>
        <v/>
      </c>
      <c r="H40" s="110"/>
      <c r="I40" s="193" t="str">
        <f>IF(ISBLANK(Attacker_Threat_Zone[[#This Row],[Vulnerability]]),"",Attacker_Threat_Zone[[#This Row],[Vulnerability]])</f>
        <v/>
      </c>
      <c r="J40" s="110"/>
      <c r="K4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0" s="28" t="str">
        <f>Attacker_Threat_Zone[[#This Row],[Impact
Max]]</f>
        <v xml:space="preserve"> </v>
      </c>
      <c r="M40" s="110"/>
      <c r="N40" s="99" t="str" cm="1">
        <f t="array" ref="N4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0" s="99">
        <f>IF(OR('SL-T'!$B$18="",Risk_Evaluation[[#This Row],[Actual Risk - 
G-6b]]=""),0,VLOOKUP(Risk_Evaluation[[#This Row],[Actual Risk - 
G-6b]],_DATA!$H$3:$I$7,2,FALSE)-VLOOKUP('SL-T'!$B$18,_DATA!$H$3:$I$7,2,FALSE))</f>
        <v>0</v>
      </c>
      <c r="P40" s="100" t="str">
        <f>VLOOKUP(Risk_Evaluation[[#This Row],[Threat Catalogue]],_3_3_OVERVIEW_MITIGATING!$A$7:$B$66,2,FALSE)</f>
        <v/>
      </c>
      <c r="Q40" s="101"/>
      <c r="R40" s="110"/>
      <c r="S40" s="110"/>
      <c r="T4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0" s="110"/>
      <c r="V40" s="111" t="str">
        <f t="array" ref="V4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0" s="103">
        <f>IF(OR('SL-T'!$B$18="",Risk_Evaluation[[#This Row],[Actual Risk - 
G-6d]]=""),0,VLOOKUP(Risk_Evaluation[[#This Row],[Actual Risk - 
G-6d]],_DATA!$H$3:$I$7,2,FALSE)-VLOOKUP('SL-T'!$B$18,_DATA!$H$3:$I$7,2,FALSE))</f>
        <v>0</v>
      </c>
      <c r="X40" s="137" t="str">
        <f>VLOOKUP(Risk_Evaluation[[#This Row],[Threat Catalogue]],_2_1_OVERVIEW!$A$7:$B$66,2,FALSE)</f>
        <v/>
      </c>
      <c r="Y40" s="104"/>
      <c r="Z40" s="141"/>
      <c r="AA40" s="112"/>
      <c r="AB40" s="112"/>
      <c r="AC4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0" s="112"/>
      <c r="AE40" s="113" t="str">
        <f t="array" ref="AE4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0" s="106">
        <f>IF(OR('SL-T'!$B$18="",Risk_Evaluation[[#This Row],[Actual Risk - 
G-6f]]=""),0,VLOOKUP(Risk_Evaluation[[#This Row],[Actual Risk - 
G-6f]],_DATA!$H$3:$I$7,2,FALSE)-VLOOKUP('SL-T'!$B$18,_DATA!$H$3:$I$7,2,FALSE))</f>
        <v>0</v>
      </c>
      <c r="AG40" s="114"/>
      <c r="AH40" s="115"/>
    </row>
    <row r="41" spans="1:34" ht="28.8">
      <c r="A41" s="108" t="str">
        <f>Attacker_Threat_Zone[[#This Row],[Threat Name]]</f>
        <v>IND.1.10 Insufficient security requirements for procurement</v>
      </c>
      <c r="B41" s="97" t="str">
        <f>IF(ISBLANK(Attacker_Threat_Zone[[#This Row],[Relevance]]),"No",Attacker_Threat_Zone[[#This Row],[Relevance]])</f>
        <v>No</v>
      </c>
      <c r="C41" s="109"/>
      <c r="D41" s="109"/>
      <c r="E41" s="152" t="str">
        <f>VLOOKUP(Risk_Evaluation[[#This Row],[Threat Catalogue]],_3_3_OVERVIEW_PRE!$A$7:$B$66,2,FALSE)</f>
        <v/>
      </c>
      <c r="F41" s="151"/>
      <c r="G41" s="193" t="str">
        <f>IF(ISBLANK(Attacker_Threat_Zone[[#This Row],[Exposure]]),"",Attacker_Threat_Zone[[#This Row],[Exposure]])</f>
        <v/>
      </c>
      <c r="H41" s="110"/>
      <c r="I41" s="193" t="str">
        <f>IF(ISBLANK(Attacker_Threat_Zone[[#This Row],[Vulnerability]]),"",Attacker_Threat_Zone[[#This Row],[Vulnerability]])</f>
        <v/>
      </c>
      <c r="J41" s="110"/>
      <c r="K4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1" s="28" t="str">
        <f>Attacker_Threat_Zone[[#This Row],[Impact
Max]]</f>
        <v xml:space="preserve"> </v>
      </c>
      <c r="M41" s="110"/>
      <c r="N41" s="99" t="str" cm="1">
        <f t="array" ref="N4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1" s="99">
        <f>IF(OR('SL-T'!$B$18="",Risk_Evaluation[[#This Row],[Actual Risk - 
G-6b]]=""),0,VLOOKUP(Risk_Evaluation[[#This Row],[Actual Risk - 
G-6b]],_DATA!$H$3:$I$7,2,FALSE)-VLOOKUP('SL-T'!$B$18,_DATA!$H$3:$I$7,2,FALSE))</f>
        <v>0</v>
      </c>
      <c r="P41" s="100" t="str">
        <f>VLOOKUP(Risk_Evaluation[[#This Row],[Threat Catalogue]],_3_3_OVERVIEW_MITIGATING!$A$7:$B$66,2,FALSE)</f>
        <v/>
      </c>
      <c r="Q41" s="101"/>
      <c r="R41" s="110"/>
      <c r="S41" s="110"/>
      <c r="T4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1" s="110"/>
      <c r="V41" s="111" t="str">
        <f t="array" ref="V4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1" s="103">
        <f>IF(OR('SL-T'!$B$18="",Risk_Evaluation[[#This Row],[Actual Risk - 
G-6d]]=""),0,VLOOKUP(Risk_Evaluation[[#This Row],[Actual Risk - 
G-6d]],_DATA!$H$3:$I$7,2,FALSE)-VLOOKUP('SL-T'!$B$18,_DATA!$H$3:$I$7,2,FALSE))</f>
        <v>0</v>
      </c>
      <c r="X41" s="137" t="str">
        <f>VLOOKUP(Risk_Evaluation[[#This Row],[Threat Catalogue]],_2_1_OVERVIEW!$A$7:$B$66,2,FALSE)</f>
        <v/>
      </c>
      <c r="Y41" s="104"/>
      <c r="Z41" s="141"/>
      <c r="AA41" s="112"/>
      <c r="AB41" s="112"/>
      <c r="AC4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1" s="112"/>
      <c r="AE41" s="113" t="str">
        <f t="array" ref="AE4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1" s="106">
        <f>IF(OR('SL-T'!$B$18="",Risk_Evaluation[[#This Row],[Actual Risk - 
G-6f]]=""),0,VLOOKUP(Risk_Evaluation[[#This Row],[Actual Risk - 
G-6f]],_DATA!$H$3:$I$7,2,FALSE)-VLOOKUP('SL-T'!$B$18,_DATA!$H$3:$I$7,2,FALSE))</f>
        <v>0</v>
      </c>
      <c r="AG41" s="114"/>
      <c r="AH41" s="115"/>
    </row>
    <row r="42" spans="1:34">
      <c r="A42" s="108" t="str">
        <f>Attacker_Threat_Zone[[#This Row],[Threat Name]]</f>
        <v>IND.1.11 Use of unsecure protocols</v>
      </c>
      <c r="B42" s="97" t="str">
        <f>IF(ISBLANK(Attacker_Threat_Zone[[#This Row],[Relevance]]),"No",Attacker_Threat_Zone[[#This Row],[Relevance]])</f>
        <v>No</v>
      </c>
      <c r="C42" s="109"/>
      <c r="D42" s="109"/>
      <c r="E42" s="152" t="str">
        <f>VLOOKUP(Risk_Evaluation[[#This Row],[Threat Catalogue]],_3_3_OVERVIEW_PRE!$A$7:$B$66,2,FALSE)</f>
        <v/>
      </c>
      <c r="F42" s="151"/>
      <c r="G42" s="193" t="str">
        <f>IF(ISBLANK(Attacker_Threat_Zone[[#This Row],[Exposure]]),"",Attacker_Threat_Zone[[#This Row],[Exposure]])</f>
        <v/>
      </c>
      <c r="H42" s="110"/>
      <c r="I42" s="193" t="str">
        <f>IF(ISBLANK(Attacker_Threat_Zone[[#This Row],[Vulnerability]]),"",Attacker_Threat_Zone[[#This Row],[Vulnerability]])</f>
        <v/>
      </c>
      <c r="J42" s="110"/>
      <c r="K4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2" s="28" t="str">
        <f>Attacker_Threat_Zone[[#This Row],[Impact
Max]]</f>
        <v xml:space="preserve"> </v>
      </c>
      <c r="M42" s="110"/>
      <c r="N42" s="99" t="str" cm="1">
        <f t="array" ref="N4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2" s="99">
        <f>IF(OR('SL-T'!$B$18="",Risk_Evaluation[[#This Row],[Actual Risk - 
G-6b]]=""),0,VLOOKUP(Risk_Evaluation[[#This Row],[Actual Risk - 
G-6b]],_DATA!$H$3:$I$7,2,FALSE)-VLOOKUP('SL-T'!$B$18,_DATA!$H$3:$I$7,2,FALSE))</f>
        <v>0</v>
      </c>
      <c r="P42" s="100" t="str">
        <f>VLOOKUP(Risk_Evaluation[[#This Row],[Threat Catalogue]],_3_3_OVERVIEW_MITIGATING!$A$7:$B$66,2,FALSE)</f>
        <v/>
      </c>
      <c r="Q42" s="101"/>
      <c r="R42" s="110"/>
      <c r="S42" s="110"/>
      <c r="T4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2" s="110"/>
      <c r="V42" s="111" t="str">
        <f t="array" ref="V4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2" s="103">
        <f>IF(OR('SL-T'!$B$18="",Risk_Evaluation[[#This Row],[Actual Risk - 
G-6d]]=""),0,VLOOKUP(Risk_Evaluation[[#This Row],[Actual Risk - 
G-6d]],_DATA!$H$3:$I$7,2,FALSE)-VLOOKUP('SL-T'!$B$18,_DATA!$H$3:$I$7,2,FALSE))</f>
        <v>0</v>
      </c>
      <c r="X42" s="137" t="str">
        <f>VLOOKUP(Risk_Evaluation[[#This Row],[Threat Catalogue]],_2_1_OVERVIEW!$A$7:$B$66,2,FALSE)</f>
        <v/>
      </c>
      <c r="Y42" s="104"/>
      <c r="Z42" s="141"/>
      <c r="AA42" s="112"/>
      <c r="AB42" s="112"/>
      <c r="AC4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2" s="112"/>
      <c r="AE42" s="113" t="str">
        <f t="array" ref="AE4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2" s="106">
        <f>IF(OR('SL-T'!$B$18="",Risk_Evaluation[[#This Row],[Actual Risk - 
G-6f]]=""),0,VLOOKUP(Risk_Evaluation[[#This Row],[Actual Risk - 
G-6f]],_DATA!$H$3:$I$7,2,FALSE)-VLOOKUP('SL-T'!$B$18,_DATA!$H$3:$I$7,2,FALSE))</f>
        <v>0</v>
      </c>
      <c r="AG42" s="114"/>
      <c r="AH42" s="115"/>
    </row>
    <row r="43" spans="1:34" ht="28.8">
      <c r="A43" s="108" t="str">
        <f>Attacker_Threat_Zone[[#This Row],[Threat Name]]</f>
        <v>IND.1.12 Insecure configurations of components</v>
      </c>
      <c r="B43" s="97" t="str">
        <f>IF(ISBLANK(Attacker_Threat_Zone[[#This Row],[Relevance]]),"No",Attacker_Threat_Zone[[#This Row],[Relevance]])</f>
        <v>No</v>
      </c>
      <c r="C43" s="109"/>
      <c r="D43" s="109"/>
      <c r="E43" s="152" t="str">
        <f>VLOOKUP(Risk_Evaluation[[#This Row],[Threat Catalogue]],_3_3_OVERVIEW_PRE!$A$7:$B$66,2,FALSE)</f>
        <v/>
      </c>
      <c r="F43" s="151"/>
      <c r="G43" s="193" t="str">
        <f>IF(ISBLANK(Attacker_Threat_Zone[[#This Row],[Exposure]]),"",Attacker_Threat_Zone[[#This Row],[Exposure]])</f>
        <v/>
      </c>
      <c r="H43" s="110"/>
      <c r="I43" s="193" t="str">
        <f>IF(ISBLANK(Attacker_Threat_Zone[[#This Row],[Vulnerability]]),"",Attacker_Threat_Zone[[#This Row],[Vulnerability]])</f>
        <v/>
      </c>
      <c r="J43" s="110"/>
      <c r="K4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3" s="28" t="str">
        <f>Attacker_Threat_Zone[[#This Row],[Impact
Max]]</f>
        <v xml:space="preserve"> </v>
      </c>
      <c r="M43" s="110"/>
      <c r="N43" s="99" t="str" cm="1">
        <f t="array" ref="N4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3" s="99">
        <f>IF(OR('SL-T'!$B$18="",Risk_Evaluation[[#This Row],[Actual Risk - 
G-6b]]=""),0,VLOOKUP(Risk_Evaluation[[#This Row],[Actual Risk - 
G-6b]],_DATA!$H$3:$I$7,2,FALSE)-VLOOKUP('SL-T'!$B$18,_DATA!$H$3:$I$7,2,FALSE))</f>
        <v>0</v>
      </c>
      <c r="P43" s="100" t="str">
        <f>VLOOKUP(Risk_Evaluation[[#This Row],[Threat Catalogue]],_3_3_OVERVIEW_MITIGATING!$A$7:$B$66,2,FALSE)</f>
        <v/>
      </c>
      <c r="Q43" s="101"/>
      <c r="R43" s="110"/>
      <c r="S43" s="110"/>
      <c r="T4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3" s="110"/>
      <c r="V43" s="111" t="str">
        <f t="array" ref="V4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3" s="103">
        <f>IF(OR('SL-T'!$B$18="",Risk_Evaluation[[#This Row],[Actual Risk - 
G-6d]]=""),0,VLOOKUP(Risk_Evaluation[[#This Row],[Actual Risk - 
G-6d]],_DATA!$H$3:$I$7,2,FALSE)-VLOOKUP('SL-T'!$B$18,_DATA!$H$3:$I$7,2,FALSE))</f>
        <v>0</v>
      </c>
      <c r="X43" s="137" t="str">
        <f>VLOOKUP(Risk_Evaluation[[#This Row],[Threat Catalogue]],_2_1_OVERVIEW!$A$7:$B$66,2,FALSE)</f>
        <v/>
      </c>
      <c r="Y43" s="104"/>
      <c r="Z43" s="141"/>
      <c r="AA43" s="112"/>
      <c r="AB43" s="112"/>
      <c r="AC4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3" s="112"/>
      <c r="AE43" s="113" t="str">
        <f t="array" ref="AE4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3" s="106">
        <f>IF(OR('SL-T'!$B$18="",Risk_Evaluation[[#This Row],[Actual Risk - 
G-6f]]=""),0,VLOOKUP(Risk_Evaluation[[#This Row],[Actual Risk - 
G-6f]],_DATA!$H$3:$I$7,2,FALSE)-VLOOKUP('SL-T'!$B$18,_DATA!$H$3:$I$7,2,FALSE))</f>
        <v>0</v>
      </c>
      <c r="AG43" s="114"/>
      <c r="AH43" s="115"/>
    </row>
    <row r="44" spans="1:34">
      <c r="A44" s="108" t="str">
        <f>Attacker_Threat_Zone[[#This Row],[Threat Name]]</f>
        <v>IND.1.13 Dependencies of OT on IT networks</v>
      </c>
      <c r="B44" s="97" t="str">
        <f>IF(ISBLANK(Attacker_Threat_Zone[[#This Row],[Relevance]]),"No",Attacker_Threat_Zone[[#This Row],[Relevance]])</f>
        <v>No</v>
      </c>
      <c r="C44" s="109"/>
      <c r="D44" s="109"/>
      <c r="E44" s="152" t="str">
        <f>VLOOKUP(Risk_Evaluation[[#This Row],[Threat Catalogue]],_3_3_OVERVIEW_PRE!$A$7:$B$66,2,FALSE)</f>
        <v/>
      </c>
      <c r="F44" s="151"/>
      <c r="G44" s="193" t="str">
        <f>IF(ISBLANK(Attacker_Threat_Zone[[#This Row],[Exposure]]),"",Attacker_Threat_Zone[[#This Row],[Exposure]])</f>
        <v/>
      </c>
      <c r="H44" s="110"/>
      <c r="I44" s="193" t="str">
        <f>IF(ISBLANK(Attacker_Threat_Zone[[#This Row],[Vulnerability]]),"",Attacker_Threat_Zone[[#This Row],[Vulnerability]])</f>
        <v/>
      </c>
      <c r="J44" s="110"/>
      <c r="K4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4" s="28" t="str">
        <f>Attacker_Threat_Zone[[#This Row],[Impact
Max]]</f>
        <v xml:space="preserve"> </v>
      </c>
      <c r="M44" s="110"/>
      <c r="N44" s="99" t="str" cm="1">
        <f t="array" ref="N4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4" s="99">
        <f>IF(OR('SL-T'!$B$18="",Risk_Evaluation[[#This Row],[Actual Risk - 
G-6b]]=""),0,VLOOKUP(Risk_Evaluation[[#This Row],[Actual Risk - 
G-6b]],_DATA!$H$3:$I$7,2,FALSE)-VLOOKUP('SL-T'!$B$18,_DATA!$H$3:$I$7,2,FALSE))</f>
        <v>0</v>
      </c>
      <c r="P44" s="100" t="str">
        <f>VLOOKUP(Risk_Evaluation[[#This Row],[Threat Catalogue]],_3_3_OVERVIEW_MITIGATING!$A$7:$B$66,2,FALSE)</f>
        <v/>
      </c>
      <c r="Q44" s="101"/>
      <c r="R44" s="110"/>
      <c r="S44" s="110"/>
      <c r="T4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4" s="110"/>
      <c r="V44" s="111" t="str">
        <f t="array" ref="V4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4" s="103">
        <f>IF(OR('SL-T'!$B$18="",Risk_Evaluation[[#This Row],[Actual Risk - 
G-6d]]=""),0,VLOOKUP(Risk_Evaluation[[#This Row],[Actual Risk - 
G-6d]],_DATA!$H$3:$I$7,2,FALSE)-VLOOKUP('SL-T'!$B$18,_DATA!$H$3:$I$7,2,FALSE))</f>
        <v>0</v>
      </c>
      <c r="X44" s="137" t="str">
        <f>VLOOKUP(Risk_Evaluation[[#This Row],[Threat Catalogue]],_2_1_OVERVIEW!$A$7:$B$66,2,FALSE)</f>
        <v/>
      </c>
      <c r="Y44" s="104"/>
      <c r="Z44" s="141"/>
      <c r="AA44" s="112"/>
      <c r="AB44" s="112"/>
      <c r="AC4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4" s="112"/>
      <c r="AE44" s="113" t="str">
        <f t="array" ref="AE4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4" s="106">
        <f>IF(OR('SL-T'!$B$18="",Risk_Evaluation[[#This Row],[Actual Risk - 
G-6f]]=""),0,VLOOKUP(Risk_Evaluation[[#This Row],[Actual Risk - 
G-6f]],_DATA!$H$3:$I$7,2,FALSE)-VLOOKUP('SL-T'!$B$18,_DATA!$H$3:$I$7,2,FALSE))</f>
        <v>0</v>
      </c>
      <c r="AG44" s="114"/>
      <c r="AH44" s="115"/>
    </row>
    <row r="45" spans="1:34" ht="28.8">
      <c r="A45" s="108" t="str">
        <f>Attacker_Threat_Zone[[#This Row],[Threat Name]]</f>
        <v>IND.2.1.2 Insufficient user and authorisation management</v>
      </c>
      <c r="B45" s="97" t="str">
        <f>IF(ISBLANK(Attacker_Threat_Zone[[#This Row],[Relevance]]),"No",Attacker_Threat_Zone[[#This Row],[Relevance]])</f>
        <v>No</v>
      </c>
      <c r="C45" s="109"/>
      <c r="D45" s="109"/>
      <c r="E45" s="152" t="str">
        <f>VLOOKUP(Risk_Evaluation[[#This Row],[Threat Catalogue]],_3_3_OVERVIEW_PRE!$A$7:$B$66,2,FALSE)</f>
        <v/>
      </c>
      <c r="F45" s="151"/>
      <c r="G45" s="193" t="str">
        <f>IF(ISBLANK(Attacker_Threat_Zone[[#This Row],[Exposure]]),"",Attacker_Threat_Zone[[#This Row],[Exposure]])</f>
        <v/>
      </c>
      <c r="H45" s="110"/>
      <c r="I45" s="193" t="str">
        <f>IF(ISBLANK(Attacker_Threat_Zone[[#This Row],[Vulnerability]]),"",Attacker_Threat_Zone[[#This Row],[Vulnerability]])</f>
        <v/>
      </c>
      <c r="J45" s="110"/>
      <c r="K45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5" s="28" t="str">
        <f>Attacker_Threat_Zone[[#This Row],[Impact
Max]]</f>
        <v xml:space="preserve"> </v>
      </c>
      <c r="M45" s="110"/>
      <c r="N45" s="99" t="str" cm="1">
        <f t="array" ref="N4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5" s="99">
        <f>IF(OR('SL-T'!$B$18="",Risk_Evaluation[[#This Row],[Actual Risk - 
G-6b]]=""),0,VLOOKUP(Risk_Evaluation[[#This Row],[Actual Risk - 
G-6b]],_DATA!$H$3:$I$7,2,FALSE)-VLOOKUP('SL-T'!$B$18,_DATA!$H$3:$I$7,2,FALSE))</f>
        <v>0</v>
      </c>
      <c r="P45" s="100" t="str">
        <f>VLOOKUP(Risk_Evaluation[[#This Row],[Threat Catalogue]],_3_3_OVERVIEW_MITIGATING!$A$7:$B$66,2,FALSE)</f>
        <v/>
      </c>
      <c r="Q45" s="101"/>
      <c r="R45" s="110"/>
      <c r="S45" s="110"/>
      <c r="T45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5" s="110"/>
      <c r="V45" s="111" t="str">
        <f t="array" ref="V45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5" s="103">
        <f>IF(OR('SL-T'!$B$18="",Risk_Evaluation[[#This Row],[Actual Risk - 
G-6d]]=""),0,VLOOKUP(Risk_Evaluation[[#This Row],[Actual Risk - 
G-6d]],_DATA!$H$3:$I$7,2,FALSE)-VLOOKUP('SL-T'!$B$18,_DATA!$H$3:$I$7,2,FALSE))</f>
        <v>0</v>
      </c>
      <c r="X45" s="137" t="str">
        <f>VLOOKUP(Risk_Evaluation[[#This Row],[Threat Catalogue]],_2_1_OVERVIEW!$A$7:$B$66,2,FALSE)</f>
        <v/>
      </c>
      <c r="Y45" s="104"/>
      <c r="Z45" s="141"/>
      <c r="AA45" s="112"/>
      <c r="AB45" s="112"/>
      <c r="AC45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5" s="112"/>
      <c r="AE45" s="113" t="str">
        <f t="array" ref="AE45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5" s="106">
        <f>IF(OR('SL-T'!$B$18="",Risk_Evaluation[[#This Row],[Actual Risk - 
G-6f]]=""),0,VLOOKUP(Risk_Evaluation[[#This Row],[Actual Risk - 
G-6f]],_DATA!$H$3:$I$7,2,FALSE)-VLOOKUP('SL-T'!$B$18,_DATA!$H$3:$I$7,2,FALSE))</f>
        <v>0</v>
      </c>
      <c r="AG45" s="114"/>
      <c r="AH45" s="115"/>
    </row>
    <row r="46" spans="1:34">
      <c r="A46" s="108" t="str">
        <f>Attacker_Threat_Zone[[#This Row],[Threat Name]]</f>
        <v>IND.2.1.3 Insufficient logging</v>
      </c>
      <c r="B46" s="97" t="str">
        <f>IF(ISBLANK(Attacker_Threat_Zone[[#This Row],[Relevance]]),"No",Attacker_Threat_Zone[[#This Row],[Relevance]])</f>
        <v>No</v>
      </c>
      <c r="C46" s="109"/>
      <c r="D46" s="109"/>
      <c r="E46" s="152" t="str">
        <f>VLOOKUP(Risk_Evaluation[[#This Row],[Threat Catalogue]],_3_3_OVERVIEW_PRE!$A$7:$B$66,2,FALSE)</f>
        <v/>
      </c>
      <c r="F46" s="151"/>
      <c r="G46" s="193" t="str">
        <f>IF(ISBLANK(Attacker_Threat_Zone[[#This Row],[Exposure]]),"",Attacker_Threat_Zone[[#This Row],[Exposure]])</f>
        <v/>
      </c>
      <c r="H46" s="110"/>
      <c r="I46" s="193" t="str">
        <f>IF(ISBLANK(Attacker_Threat_Zone[[#This Row],[Vulnerability]]),"",Attacker_Threat_Zone[[#This Row],[Vulnerability]])</f>
        <v/>
      </c>
      <c r="J46" s="110"/>
      <c r="K46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6" s="28" t="str">
        <f>Attacker_Threat_Zone[[#This Row],[Impact
Max]]</f>
        <v xml:space="preserve"> </v>
      </c>
      <c r="M46" s="110"/>
      <c r="N46" s="99" t="str" cm="1">
        <f t="array" ref="N4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6" s="99">
        <f>IF(OR('SL-T'!$B$18="",Risk_Evaluation[[#This Row],[Actual Risk - 
G-6b]]=""),0,VLOOKUP(Risk_Evaluation[[#This Row],[Actual Risk - 
G-6b]],_DATA!$H$3:$I$7,2,FALSE)-VLOOKUP('SL-T'!$B$18,_DATA!$H$3:$I$7,2,FALSE))</f>
        <v>0</v>
      </c>
      <c r="P46" s="100" t="str">
        <f>VLOOKUP(Risk_Evaluation[[#This Row],[Threat Catalogue]],_3_3_OVERVIEW_MITIGATING!$A$7:$B$66,2,FALSE)</f>
        <v/>
      </c>
      <c r="Q46" s="101"/>
      <c r="R46" s="110"/>
      <c r="S46" s="110"/>
      <c r="T46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6" s="110"/>
      <c r="V46" s="111" t="str">
        <f t="array" ref="V4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6" s="103">
        <f>IF(OR('SL-T'!$B$18="",Risk_Evaluation[[#This Row],[Actual Risk - 
G-6d]]=""),0,VLOOKUP(Risk_Evaluation[[#This Row],[Actual Risk - 
G-6d]],_DATA!$H$3:$I$7,2,FALSE)-VLOOKUP('SL-T'!$B$18,_DATA!$H$3:$I$7,2,FALSE))</f>
        <v>0</v>
      </c>
      <c r="X46" s="137" t="str">
        <f>VLOOKUP(Risk_Evaluation[[#This Row],[Threat Catalogue]],_2_1_OVERVIEW!$A$7:$B$66,2,FALSE)</f>
        <v/>
      </c>
      <c r="Y46" s="104"/>
      <c r="Z46" s="141"/>
      <c r="AA46" s="112"/>
      <c r="AB46" s="112"/>
      <c r="AC46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6" s="112"/>
      <c r="AE46" s="113" t="str">
        <f t="array" ref="AE4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6" s="106">
        <f>IF(OR('SL-T'!$B$18="",Risk_Evaluation[[#This Row],[Actual Risk - 
G-6f]]=""),0,VLOOKUP(Risk_Evaluation[[#This Row],[Actual Risk - 
G-6f]],_DATA!$H$3:$I$7,2,FALSE)-VLOOKUP('SL-T'!$B$18,_DATA!$H$3:$I$7,2,FALSE))</f>
        <v>0</v>
      </c>
      <c r="AG46" s="114"/>
      <c r="AH46" s="115"/>
    </row>
    <row r="47" spans="1:34">
      <c r="A47" s="108" t="str">
        <f>Attacker_Threat_Zone[[#This Row],[Threat Name]]</f>
        <v>IND.2.1.9 Manipulated firmware</v>
      </c>
      <c r="B47" s="97" t="str">
        <f>IF(ISBLANK(Attacker_Threat_Zone[[#This Row],[Relevance]]),"No",Attacker_Threat_Zone[[#This Row],[Relevance]])</f>
        <v>No</v>
      </c>
      <c r="C47" s="109"/>
      <c r="D47" s="109"/>
      <c r="E47" s="152" t="str">
        <f>VLOOKUP(Risk_Evaluation[[#This Row],[Threat Catalogue]],_3_3_OVERVIEW_PRE!$A$7:$B$66,2,FALSE)</f>
        <v/>
      </c>
      <c r="F47" s="151"/>
      <c r="G47" s="193" t="str">
        <f>IF(ISBLANK(Attacker_Threat_Zone[[#This Row],[Exposure]]),"",Attacker_Threat_Zone[[#This Row],[Exposure]])</f>
        <v/>
      </c>
      <c r="H47" s="110"/>
      <c r="I47" s="193" t="str">
        <f>IF(ISBLANK(Attacker_Threat_Zone[[#This Row],[Vulnerability]]),"",Attacker_Threat_Zone[[#This Row],[Vulnerability]])</f>
        <v/>
      </c>
      <c r="J47" s="110"/>
      <c r="K47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7" s="28" t="str">
        <f>Attacker_Threat_Zone[[#This Row],[Impact
Max]]</f>
        <v xml:space="preserve"> </v>
      </c>
      <c r="M47" s="110"/>
      <c r="N47" s="99" t="str" cm="1">
        <f t="array" ref="N4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7" s="99">
        <f>IF(OR('SL-T'!$B$18="",Risk_Evaluation[[#This Row],[Actual Risk - 
G-6b]]=""),0,VLOOKUP(Risk_Evaluation[[#This Row],[Actual Risk - 
G-6b]],_DATA!$H$3:$I$7,2,FALSE)-VLOOKUP('SL-T'!$B$18,_DATA!$H$3:$I$7,2,FALSE))</f>
        <v>0</v>
      </c>
      <c r="P47" s="100" t="str">
        <f>VLOOKUP(Risk_Evaluation[[#This Row],[Threat Catalogue]],_3_3_OVERVIEW_MITIGATING!$A$7:$B$66,2,FALSE)</f>
        <v/>
      </c>
      <c r="Q47" s="101"/>
      <c r="R47" s="110"/>
      <c r="S47" s="110"/>
      <c r="T4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7" s="110"/>
      <c r="V47" s="111" t="str">
        <f t="array" ref="V4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7" s="103">
        <f>IF(OR('SL-T'!$B$18="",Risk_Evaluation[[#This Row],[Actual Risk - 
G-6d]]=""),0,VLOOKUP(Risk_Evaluation[[#This Row],[Actual Risk - 
G-6d]],_DATA!$H$3:$I$7,2,FALSE)-VLOOKUP('SL-T'!$B$18,_DATA!$H$3:$I$7,2,FALSE))</f>
        <v>0</v>
      </c>
      <c r="X47" s="137" t="str">
        <f>VLOOKUP(Risk_Evaluation[[#This Row],[Threat Catalogue]],_2_1_OVERVIEW!$A$7:$B$66,2,FALSE)</f>
        <v/>
      </c>
      <c r="Y47" s="104"/>
      <c r="Z47" s="141"/>
      <c r="AA47" s="112"/>
      <c r="AB47" s="112"/>
      <c r="AC4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7" s="112"/>
      <c r="AE47" s="113" t="str">
        <f t="array" ref="AE4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7" s="106">
        <f>IF(OR('SL-T'!$B$18="",Risk_Evaluation[[#This Row],[Actual Risk - 
G-6f]]=""),0,VLOOKUP(Risk_Evaluation[[#This Row],[Actual Risk - 
G-6f]],_DATA!$H$3:$I$7,2,FALSE)-VLOOKUP('SL-T'!$B$18,_DATA!$H$3:$I$7,2,FALSE))</f>
        <v>0</v>
      </c>
      <c r="AG47" s="114"/>
      <c r="AH47" s="115"/>
    </row>
    <row r="48" spans="1:34">
      <c r="A48" s="108" t="str">
        <f>Attacker_Threat_Zone[[#This Row],[Threat Name]]</f>
        <v>IND.2.2.1 Incomplete documentation</v>
      </c>
      <c r="B48" s="97" t="str">
        <f>IF(ISBLANK(Attacker_Threat_Zone[[#This Row],[Relevance]]),"No",Attacker_Threat_Zone[[#This Row],[Relevance]])</f>
        <v>No</v>
      </c>
      <c r="C48" s="109"/>
      <c r="D48" s="109"/>
      <c r="E48" s="152" t="str">
        <f>VLOOKUP(Risk_Evaluation[[#This Row],[Threat Catalogue]],_3_3_OVERVIEW_PRE!$A$7:$B$66,2,FALSE)</f>
        <v/>
      </c>
      <c r="F48" s="151"/>
      <c r="G48" s="193" t="str">
        <f>IF(ISBLANK(Attacker_Threat_Zone[[#This Row],[Exposure]]),"",Attacker_Threat_Zone[[#This Row],[Exposure]])</f>
        <v/>
      </c>
      <c r="H48" s="110"/>
      <c r="I48" s="193" t="str">
        <f>IF(ISBLANK(Attacker_Threat_Zone[[#This Row],[Vulnerability]]),"",Attacker_Threat_Zone[[#This Row],[Vulnerability]])</f>
        <v/>
      </c>
      <c r="J48" s="110"/>
      <c r="K48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8" s="28" t="str">
        <f>Attacker_Threat_Zone[[#This Row],[Impact
Max]]</f>
        <v xml:space="preserve"> </v>
      </c>
      <c r="M48" s="110"/>
      <c r="N48" s="99" t="str" cm="1">
        <f t="array" ref="N4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8" s="99">
        <f>IF(OR('SL-T'!$B$18="",Risk_Evaluation[[#This Row],[Actual Risk - 
G-6b]]=""),0,VLOOKUP(Risk_Evaluation[[#This Row],[Actual Risk - 
G-6b]],_DATA!$H$3:$I$7,2,FALSE)-VLOOKUP('SL-T'!$B$18,_DATA!$H$3:$I$7,2,FALSE))</f>
        <v>0</v>
      </c>
      <c r="P48" s="100" t="str">
        <f>VLOOKUP(Risk_Evaluation[[#This Row],[Threat Catalogue]],_3_3_OVERVIEW_MITIGATING!$A$7:$B$66,2,FALSE)</f>
        <v/>
      </c>
      <c r="Q48" s="101"/>
      <c r="R48" s="110"/>
      <c r="S48" s="110"/>
      <c r="T4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8" s="110"/>
      <c r="V48" s="111" t="str">
        <f t="array" ref="V4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8" s="103">
        <f>IF(OR('SL-T'!$B$18="",Risk_Evaluation[[#This Row],[Actual Risk - 
G-6d]]=""),0,VLOOKUP(Risk_Evaluation[[#This Row],[Actual Risk - 
G-6d]],_DATA!$H$3:$I$7,2,FALSE)-VLOOKUP('SL-T'!$B$18,_DATA!$H$3:$I$7,2,FALSE))</f>
        <v>0</v>
      </c>
      <c r="X48" s="137" t="str">
        <f>VLOOKUP(Risk_Evaluation[[#This Row],[Threat Catalogue]],_2_1_OVERVIEW!$A$7:$B$66,2,FALSE)</f>
        <v/>
      </c>
      <c r="Y48" s="104"/>
      <c r="Z48" s="141"/>
      <c r="AA48" s="112"/>
      <c r="AB48" s="112"/>
      <c r="AC4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8" s="112"/>
      <c r="AE48" s="113" t="str">
        <f t="array" ref="AE4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8" s="106">
        <f>IF(OR('SL-T'!$B$18="",Risk_Evaluation[[#This Row],[Actual Risk - 
G-6f]]=""),0,VLOOKUP(Risk_Evaluation[[#This Row],[Actual Risk - 
G-6f]],_DATA!$H$3:$I$7,2,FALSE)-VLOOKUP('SL-T'!$B$18,_DATA!$H$3:$I$7,2,FALSE))</f>
        <v>0</v>
      </c>
      <c r="AG48" s="114"/>
      <c r="AH48" s="115"/>
    </row>
    <row r="49" spans="1:34" ht="28.8">
      <c r="A49" s="108" t="str">
        <f>Attacker_Threat_Zone[[#This Row],[Threat Name]]</f>
        <v>IND.3.2.1 Incompletely documented remote maintenance access in the OT</v>
      </c>
      <c r="B49" s="97" t="str">
        <f>IF(ISBLANK(Attacker_Threat_Zone[[#This Row],[Relevance]]),"No",Attacker_Threat_Zone[[#This Row],[Relevance]])</f>
        <v>No</v>
      </c>
      <c r="C49" s="109"/>
      <c r="D49" s="109"/>
      <c r="E49" s="152" t="str">
        <f>VLOOKUP(Risk_Evaluation[[#This Row],[Threat Catalogue]],_3_3_OVERVIEW_PRE!$A$7:$B$66,2,FALSE)</f>
        <v/>
      </c>
      <c r="F49" s="151"/>
      <c r="G49" s="193" t="str">
        <f>IF(ISBLANK(Attacker_Threat_Zone[[#This Row],[Exposure]]),"",Attacker_Threat_Zone[[#This Row],[Exposure]])</f>
        <v/>
      </c>
      <c r="H49" s="110"/>
      <c r="I49" s="193" t="str">
        <f>IF(ISBLANK(Attacker_Threat_Zone[[#This Row],[Vulnerability]]),"",Attacker_Threat_Zone[[#This Row],[Vulnerability]])</f>
        <v/>
      </c>
      <c r="J49" s="110"/>
      <c r="K49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49" s="28" t="str">
        <f>Attacker_Threat_Zone[[#This Row],[Impact
Max]]</f>
        <v xml:space="preserve"> </v>
      </c>
      <c r="M49" s="110"/>
      <c r="N49" s="99" t="str" cm="1">
        <f t="array" ref="N4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49" s="99">
        <f>IF(OR('SL-T'!$B$18="",Risk_Evaluation[[#This Row],[Actual Risk - 
G-6b]]=""),0,VLOOKUP(Risk_Evaluation[[#This Row],[Actual Risk - 
G-6b]],_DATA!$H$3:$I$7,2,FALSE)-VLOOKUP('SL-T'!$B$18,_DATA!$H$3:$I$7,2,FALSE))</f>
        <v>0</v>
      </c>
      <c r="P49" s="100" t="str">
        <f>VLOOKUP(Risk_Evaluation[[#This Row],[Threat Catalogue]],_3_3_OVERVIEW_MITIGATING!$A$7:$B$66,2,FALSE)</f>
        <v/>
      </c>
      <c r="Q49" s="101"/>
      <c r="R49" s="110"/>
      <c r="S49" s="110"/>
      <c r="T4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49" s="110"/>
      <c r="V49" s="111" t="str">
        <f t="array" ref="V4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49" s="103">
        <f>IF(OR('SL-T'!$B$18="",Risk_Evaluation[[#This Row],[Actual Risk - 
G-6d]]=""),0,VLOOKUP(Risk_Evaluation[[#This Row],[Actual Risk - 
G-6d]],_DATA!$H$3:$I$7,2,FALSE)-VLOOKUP('SL-T'!$B$18,_DATA!$H$3:$I$7,2,FALSE))</f>
        <v>0</v>
      </c>
      <c r="X49" s="137" t="str">
        <f>VLOOKUP(Risk_Evaluation[[#This Row],[Threat Catalogue]],_2_1_OVERVIEW!$A$7:$B$66,2,FALSE)</f>
        <v/>
      </c>
      <c r="Y49" s="104"/>
      <c r="Z49" s="141"/>
      <c r="AA49" s="112"/>
      <c r="AB49" s="112"/>
      <c r="AC4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49" s="112"/>
      <c r="AE49" s="113" t="str">
        <f t="array" ref="AE4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49" s="106">
        <f>IF(OR('SL-T'!$B$18="",Risk_Evaluation[[#This Row],[Actual Risk - 
G-6f]]=""),0,VLOOKUP(Risk_Evaluation[[#This Row],[Actual Risk - 
G-6f]],_DATA!$H$3:$I$7,2,FALSE)-VLOOKUP('SL-T'!$B$18,_DATA!$H$3:$I$7,2,FALSE))</f>
        <v>0</v>
      </c>
      <c r="AG49" s="114"/>
      <c r="AH49" s="115"/>
    </row>
    <row r="50" spans="1:34" ht="28.8">
      <c r="A50" s="108" t="str">
        <f>Attacker_Threat_Zone[[#This Row],[Threat Name]]</f>
        <v>IND.3.2.2 Insufficient availability due to dependencies on office and building IT</v>
      </c>
      <c r="B50" s="97" t="str">
        <f>IF(ISBLANK(Attacker_Threat_Zone[[#This Row],[Relevance]]),"No",Attacker_Threat_Zone[[#This Row],[Relevance]])</f>
        <v>No</v>
      </c>
      <c r="C50" s="109"/>
      <c r="D50" s="109"/>
      <c r="E50" s="152" t="str">
        <f>VLOOKUP(Risk_Evaluation[[#This Row],[Threat Catalogue]],_3_3_OVERVIEW_PRE!$A$7:$B$66,2,FALSE)</f>
        <v/>
      </c>
      <c r="F50" s="151"/>
      <c r="G50" s="193" t="str">
        <f>IF(ISBLANK(Attacker_Threat_Zone[[#This Row],[Exposure]]),"",Attacker_Threat_Zone[[#This Row],[Exposure]])</f>
        <v/>
      </c>
      <c r="H50" s="110"/>
      <c r="I50" s="193" t="str">
        <f>IF(ISBLANK(Attacker_Threat_Zone[[#This Row],[Vulnerability]]),"",Attacker_Threat_Zone[[#This Row],[Vulnerability]])</f>
        <v/>
      </c>
      <c r="J50" s="110"/>
      <c r="K5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0" s="28" t="str">
        <f>Attacker_Threat_Zone[[#This Row],[Impact
Max]]</f>
        <v xml:space="preserve"> </v>
      </c>
      <c r="M50" s="110"/>
      <c r="N50" s="99" t="str" cm="1">
        <f t="array" ref="N5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0" s="99">
        <f>IF(OR('SL-T'!$B$18="",Risk_Evaluation[[#This Row],[Actual Risk - 
G-6b]]=""),0,VLOOKUP(Risk_Evaluation[[#This Row],[Actual Risk - 
G-6b]],_DATA!$H$3:$I$7,2,FALSE)-VLOOKUP('SL-T'!$B$18,_DATA!$H$3:$I$7,2,FALSE))</f>
        <v>0</v>
      </c>
      <c r="P50" s="100" t="str">
        <f>VLOOKUP(Risk_Evaluation[[#This Row],[Threat Catalogue]],_3_3_OVERVIEW_MITIGATING!$A$7:$B$66,2,FALSE)</f>
        <v/>
      </c>
      <c r="Q50" s="101"/>
      <c r="R50" s="110"/>
      <c r="S50" s="110"/>
      <c r="T5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0" s="110"/>
      <c r="V50" s="111" t="str">
        <f t="array" ref="V5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0" s="103">
        <f>IF(OR('SL-T'!$B$18="",Risk_Evaluation[[#This Row],[Actual Risk - 
G-6d]]=""),0,VLOOKUP(Risk_Evaluation[[#This Row],[Actual Risk - 
G-6d]],_DATA!$H$3:$I$7,2,FALSE)-VLOOKUP('SL-T'!$B$18,_DATA!$H$3:$I$7,2,FALSE))</f>
        <v>0</v>
      </c>
      <c r="X50" s="137" t="str">
        <f>VLOOKUP(Risk_Evaluation[[#This Row],[Threat Catalogue]],_2_1_OVERVIEW!$A$7:$B$66,2,FALSE)</f>
        <v/>
      </c>
      <c r="Y50" s="104"/>
      <c r="Z50" s="141"/>
      <c r="AA50" s="112"/>
      <c r="AB50" s="112"/>
      <c r="AC5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0" s="112"/>
      <c r="AE50" s="113" t="str">
        <f t="array" ref="AE5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0" s="106">
        <f>IF(OR('SL-T'!$B$18="",Risk_Evaluation[[#This Row],[Actual Risk - 
G-6f]]=""),0,VLOOKUP(Risk_Evaluation[[#This Row],[Actual Risk - 
G-6f]],_DATA!$H$3:$I$7,2,FALSE)-VLOOKUP('SL-T'!$B$18,_DATA!$H$3:$I$7,2,FALSE))</f>
        <v>0</v>
      </c>
      <c r="AG50" s="114"/>
      <c r="AH50" s="115"/>
    </row>
    <row r="51" spans="1:34" ht="28.8">
      <c r="A51" s="108" t="str">
        <f>Attacker_Threat_Zone[[#This Row],[Threat Name]]</f>
        <v>IND.3.2.3 Insufficient regulations for the use of OT remote maintenance access</v>
      </c>
      <c r="B51" s="97" t="str">
        <f>IF(ISBLANK(Attacker_Threat_Zone[[#This Row],[Relevance]]),"No",Attacker_Threat_Zone[[#This Row],[Relevance]])</f>
        <v>No</v>
      </c>
      <c r="C51" s="116"/>
      <c r="D51" s="109"/>
      <c r="E51" s="152" t="str">
        <f>VLOOKUP(Risk_Evaluation[[#This Row],[Threat Catalogue]],_3_3_OVERVIEW_PRE!$A$7:$B$66,2,FALSE)</f>
        <v/>
      </c>
      <c r="F51" s="151"/>
      <c r="G51" s="193" t="str">
        <f>IF(ISBLANK(Attacker_Threat_Zone[[#This Row],[Exposure]]),"",Attacker_Threat_Zone[[#This Row],[Exposure]])</f>
        <v/>
      </c>
      <c r="H51" s="110"/>
      <c r="I51" s="193" t="str">
        <f>IF(ISBLANK(Attacker_Threat_Zone[[#This Row],[Vulnerability]]),"",Attacker_Threat_Zone[[#This Row],[Vulnerability]])</f>
        <v/>
      </c>
      <c r="J51" s="110"/>
      <c r="K5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1" s="28" t="str">
        <f>Attacker_Threat_Zone[[#This Row],[Impact
Max]]</f>
        <v xml:space="preserve"> </v>
      </c>
      <c r="M51" s="110"/>
      <c r="N51" s="99" t="str" cm="1">
        <f t="array" ref="N5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1" s="99">
        <f>IF(OR('SL-T'!$B$18="",Risk_Evaluation[[#This Row],[Actual Risk - 
G-6b]]=""),0,VLOOKUP(Risk_Evaluation[[#This Row],[Actual Risk - 
G-6b]],_DATA!$H$3:$I$7,2,FALSE)-VLOOKUP('SL-T'!$B$18,_DATA!$H$3:$I$7,2,FALSE))</f>
        <v>0</v>
      </c>
      <c r="P51" s="100" t="str">
        <f>VLOOKUP(Risk_Evaluation[[#This Row],[Threat Catalogue]],_3_3_OVERVIEW_MITIGATING!$A$7:$B$66,2,FALSE)</f>
        <v/>
      </c>
      <c r="Q51" s="101"/>
      <c r="R51" s="110"/>
      <c r="S51" s="110"/>
      <c r="T5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1" s="110"/>
      <c r="V51" s="111" t="str">
        <f t="array" ref="V5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1" s="103">
        <f>IF(OR('SL-T'!$B$18="",Risk_Evaluation[[#This Row],[Actual Risk - 
G-6d]]=""),0,VLOOKUP(Risk_Evaluation[[#This Row],[Actual Risk - 
G-6d]],_DATA!$H$3:$I$7,2,FALSE)-VLOOKUP('SL-T'!$B$18,_DATA!$H$3:$I$7,2,FALSE))</f>
        <v>0</v>
      </c>
      <c r="X51" s="137" t="str">
        <f>VLOOKUP(Risk_Evaluation[[#This Row],[Threat Catalogue]],_2_1_OVERVIEW!$A$7:$B$66,2,FALSE)</f>
        <v/>
      </c>
      <c r="Y51" s="104"/>
      <c r="Z51" s="141"/>
      <c r="AA51" s="112"/>
      <c r="AB51" s="112"/>
      <c r="AC5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1" s="112"/>
      <c r="AE51" s="113" t="str">
        <f t="array" ref="AE5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1" s="106">
        <f>IF(OR('SL-T'!$B$18="",Risk_Evaluation[[#This Row],[Actual Risk - 
G-6f]]=""),0,VLOOKUP(Risk_Evaluation[[#This Row],[Actual Risk - 
G-6f]],_DATA!$H$3:$I$7,2,FALSE)-VLOOKUP('SL-T'!$B$18,_DATA!$H$3:$I$7,2,FALSE))</f>
        <v>0</v>
      </c>
      <c r="AG51" s="114"/>
      <c r="AH51" s="115"/>
    </row>
    <row r="52" spans="1:34" ht="28.8">
      <c r="A52" s="108" t="str">
        <f>Attacker_Threat_Zone[[#This Row],[Threat Name]]</f>
        <v>IND.3.2.4 Insufficient human oversight over OT remote maintenance sessions</v>
      </c>
      <c r="B52" s="97" t="str">
        <f>IF(ISBLANK(Attacker_Threat_Zone[[#This Row],[Relevance]]),"No",Attacker_Threat_Zone[[#This Row],[Relevance]])</f>
        <v>No</v>
      </c>
      <c r="C52" s="116"/>
      <c r="D52" s="109"/>
      <c r="E52" s="152" t="str">
        <f>VLOOKUP(Risk_Evaluation[[#This Row],[Threat Catalogue]],_3_3_OVERVIEW_PRE!$A$7:$B$66,2,FALSE)</f>
        <v/>
      </c>
      <c r="F52" s="151"/>
      <c r="G52" s="193" t="str">
        <f>IF(ISBLANK(Attacker_Threat_Zone[[#This Row],[Exposure]]),"",Attacker_Threat_Zone[[#This Row],[Exposure]])</f>
        <v/>
      </c>
      <c r="H52" s="110"/>
      <c r="I52" s="193" t="str">
        <f>IF(ISBLANK(Attacker_Threat_Zone[[#This Row],[Vulnerability]]),"",Attacker_Threat_Zone[[#This Row],[Vulnerability]])</f>
        <v/>
      </c>
      <c r="J52" s="110"/>
      <c r="K5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2" s="28" t="str">
        <f>Attacker_Threat_Zone[[#This Row],[Impact
Max]]</f>
        <v xml:space="preserve"> </v>
      </c>
      <c r="M52" s="110"/>
      <c r="N52" s="99" t="str" cm="1">
        <f t="array" ref="N5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2" s="99">
        <f>IF(OR('SL-T'!$B$18="",Risk_Evaluation[[#This Row],[Actual Risk - 
G-6b]]=""),0,VLOOKUP(Risk_Evaluation[[#This Row],[Actual Risk - 
G-6b]],_DATA!$H$3:$I$7,2,FALSE)-VLOOKUP('SL-T'!$B$18,_DATA!$H$3:$I$7,2,FALSE))</f>
        <v>0</v>
      </c>
      <c r="P52" s="100" t="str">
        <f>VLOOKUP(Risk_Evaluation[[#This Row],[Threat Catalogue]],_3_3_OVERVIEW_MITIGATING!$A$7:$B$66,2,FALSE)</f>
        <v/>
      </c>
      <c r="Q52" s="101"/>
      <c r="R52" s="110"/>
      <c r="S52" s="110"/>
      <c r="T5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2" s="110"/>
      <c r="V52" s="111" t="str">
        <f t="array" ref="V5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2" s="103">
        <f>IF(OR('SL-T'!$B$18="",Risk_Evaluation[[#This Row],[Actual Risk - 
G-6d]]=""),0,VLOOKUP(Risk_Evaluation[[#This Row],[Actual Risk - 
G-6d]],_DATA!$H$3:$I$7,2,FALSE)-VLOOKUP('SL-T'!$B$18,_DATA!$H$3:$I$7,2,FALSE))</f>
        <v>0</v>
      </c>
      <c r="X52" s="137" t="str">
        <f>VLOOKUP(Risk_Evaluation[[#This Row],[Threat Catalogue]],_2_1_OVERVIEW!$A$7:$B$66,2,FALSE)</f>
        <v/>
      </c>
      <c r="Y52" s="104"/>
      <c r="Z52" s="141"/>
      <c r="AA52" s="112"/>
      <c r="AB52" s="112"/>
      <c r="AC5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2" s="112"/>
      <c r="AE52" s="113" t="str">
        <f t="array" ref="AE5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2" s="106">
        <f>IF(OR('SL-T'!$B$18="",Risk_Evaluation[[#This Row],[Actual Risk - 
G-6f]]=""),0,VLOOKUP(Risk_Evaluation[[#This Row],[Actual Risk - 
G-6f]],_DATA!$H$3:$I$7,2,FALSE)-VLOOKUP('SL-T'!$B$18,_DATA!$H$3:$I$7,2,FALSE))</f>
        <v>0</v>
      </c>
      <c r="AG52" s="114"/>
      <c r="AH52" s="115"/>
    </row>
    <row r="53" spans="1:34" ht="28.8">
      <c r="A53" s="108" t="str">
        <f>Attacker_Threat_Zone[[#This Row],[Threat Name]]</f>
        <v>IND.3.2.5 Direct IP-based access to systems from insecure zones</v>
      </c>
      <c r="B53" s="97" t="str">
        <f>IF(ISBLANK(Attacker_Threat_Zone[[#This Row],[Relevance]]),"No",Attacker_Threat_Zone[[#This Row],[Relevance]])</f>
        <v>No</v>
      </c>
      <c r="C53" s="116"/>
      <c r="D53" s="109"/>
      <c r="E53" s="152" t="str">
        <f>VLOOKUP(Risk_Evaluation[[#This Row],[Threat Catalogue]],_3_3_OVERVIEW_PRE!$A$7:$B$66,2,FALSE)</f>
        <v/>
      </c>
      <c r="F53" s="151"/>
      <c r="G53" s="193" t="str">
        <f>IF(ISBLANK(Attacker_Threat_Zone[[#This Row],[Exposure]]),"",Attacker_Threat_Zone[[#This Row],[Exposure]])</f>
        <v/>
      </c>
      <c r="H53" s="110"/>
      <c r="I53" s="193" t="str">
        <f>IF(ISBLANK(Attacker_Threat_Zone[[#This Row],[Vulnerability]]),"",Attacker_Threat_Zone[[#This Row],[Vulnerability]])</f>
        <v/>
      </c>
      <c r="J53" s="110"/>
      <c r="K5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3" s="28" t="str">
        <f>Attacker_Threat_Zone[[#This Row],[Impact
Max]]</f>
        <v xml:space="preserve"> </v>
      </c>
      <c r="M53" s="110"/>
      <c r="N53" s="99" t="str" cm="1">
        <f t="array" ref="N5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3" s="99">
        <f>IF(OR('SL-T'!$B$18="",Risk_Evaluation[[#This Row],[Actual Risk - 
G-6b]]=""),0,VLOOKUP(Risk_Evaluation[[#This Row],[Actual Risk - 
G-6b]],_DATA!$H$3:$I$7,2,FALSE)-VLOOKUP('SL-T'!$B$18,_DATA!$H$3:$I$7,2,FALSE))</f>
        <v>0</v>
      </c>
      <c r="P53" s="100" t="str">
        <f>VLOOKUP(Risk_Evaluation[[#This Row],[Threat Catalogue]],_3_3_OVERVIEW_MITIGATING!$A$7:$B$66,2,FALSE)</f>
        <v/>
      </c>
      <c r="Q53" s="101"/>
      <c r="R53" s="110"/>
      <c r="S53" s="110"/>
      <c r="T5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3" s="110"/>
      <c r="V53" s="111" t="str">
        <f t="array" ref="V5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3" s="103">
        <f>IF(OR('SL-T'!$B$18="",Risk_Evaluation[[#This Row],[Actual Risk - 
G-6d]]=""),0,VLOOKUP(Risk_Evaluation[[#This Row],[Actual Risk - 
G-6d]],_DATA!$H$3:$I$7,2,FALSE)-VLOOKUP('SL-T'!$B$18,_DATA!$H$3:$I$7,2,FALSE))</f>
        <v>0</v>
      </c>
      <c r="X53" s="137" t="str">
        <f>VLOOKUP(Risk_Evaluation[[#This Row],[Threat Catalogue]],_2_1_OVERVIEW!$A$7:$B$66,2,FALSE)</f>
        <v/>
      </c>
      <c r="Y53" s="104"/>
      <c r="Z53" s="141"/>
      <c r="AA53" s="112"/>
      <c r="AB53" s="112"/>
      <c r="AC5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3" s="112"/>
      <c r="AE53" s="113" t="str">
        <f t="array" ref="AE5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3" s="106">
        <f>IF(OR('SL-T'!$B$18="",Risk_Evaluation[[#This Row],[Actual Risk - 
G-6f]]=""),0,VLOOKUP(Risk_Evaluation[[#This Row],[Actual Risk - 
G-6f]],_DATA!$H$3:$I$7,2,FALSE)-VLOOKUP('SL-T'!$B$18,_DATA!$H$3:$I$7,2,FALSE))</f>
        <v>0</v>
      </c>
      <c r="AG53" s="114"/>
      <c r="AH53" s="115"/>
    </row>
    <row r="54" spans="1:34" ht="28.8">
      <c r="A54" s="108" t="str">
        <f>Attacker_Threat_Zone[[#This Row],[Threat Name]]</f>
        <v>IND.3.2.6 Insecure alternative OT remote maintenance access in the event of faults</v>
      </c>
      <c r="B54" s="97" t="str">
        <f>IF(ISBLANK(Attacker_Threat_Zone[[#This Row],[Relevance]]),"No",Attacker_Threat_Zone[[#This Row],[Relevance]])</f>
        <v>No</v>
      </c>
      <c r="C54" s="116"/>
      <c r="D54" s="109"/>
      <c r="E54" s="152" t="str">
        <f>VLOOKUP(Risk_Evaluation[[#This Row],[Threat Catalogue]],_3_3_OVERVIEW_PRE!$A$7:$B$66,2,FALSE)</f>
        <v/>
      </c>
      <c r="F54" s="151"/>
      <c r="G54" s="193" t="str">
        <f>IF(ISBLANK(Attacker_Threat_Zone[[#This Row],[Exposure]]),"",Attacker_Threat_Zone[[#This Row],[Exposure]])</f>
        <v/>
      </c>
      <c r="H54" s="110"/>
      <c r="I54" s="193" t="str">
        <f>IF(ISBLANK(Attacker_Threat_Zone[[#This Row],[Vulnerability]]),"",Attacker_Threat_Zone[[#This Row],[Vulnerability]])</f>
        <v/>
      </c>
      <c r="J54" s="110"/>
      <c r="K5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4" s="28" t="str">
        <f>Attacker_Threat_Zone[[#This Row],[Impact
Max]]</f>
        <v xml:space="preserve"> </v>
      </c>
      <c r="M54" s="110"/>
      <c r="N54" s="99" t="str" cm="1">
        <f t="array" ref="N5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4" s="99">
        <f>IF(OR('SL-T'!$B$18="",Risk_Evaluation[[#This Row],[Actual Risk - 
G-6b]]=""),0,VLOOKUP(Risk_Evaluation[[#This Row],[Actual Risk - 
G-6b]],_DATA!$H$3:$I$7,2,FALSE)-VLOOKUP('SL-T'!$B$18,_DATA!$H$3:$I$7,2,FALSE))</f>
        <v>0</v>
      </c>
      <c r="P54" s="100" t="str">
        <f>VLOOKUP(Risk_Evaluation[[#This Row],[Threat Catalogue]],_3_3_OVERVIEW_MITIGATING!$A$7:$B$66,2,FALSE)</f>
        <v/>
      </c>
      <c r="Q54" s="101"/>
      <c r="R54" s="110"/>
      <c r="S54" s="110"/>
      <c r="T5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4" s="110"/>
      <c r="V54" s="111" t="str">
        <f t="array" ref="V5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4" s="103">
        <f>IF(OR('SL-T'!$B$18="",Risk_Evaluation[[#This Row],[Actual Risk - 
G-6d]]=""),0,VLOOKUP(Risk_Evaluation[[#This Row],[Actual Risk - 
G-6d]],_DATA!$H$3:$I$7,2,FALSE)-VLOOKUP('SL-T'!$B$18,_DATA!$H$3:$I$7,2,FALSE))</f>
        <v>0</v>
      </c>
      <c r="X54" s="137" t="str">
        <f>VLOOKUP(Risk_Evaluation[[#This Row],[Threat Catalogue]],_2_1_OVERVIEW!$A$7:$B$66,2,FALSE)</f>
        <v/>
      </c>
      <c r="Y54" s="104"/>
      <c r="Z54" s="141"/>
      <c r="AA54" s="112"/>
      <c r="AB54" s="112"/>
      <c r="AC5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4" s="112"/>
      <c r="AE54" s="113" t="str">
        <f t="array" ref="AE5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4" s="106">
        <f>IF(OR('SL-T'!$B$18="",Risk_Evaluation[[#This Row],[Actual Risk - 
G-6f]]=""),0,VLOOKUP(Risk_Evaluation[[#This Row],[Actual Risk - 
G-6f]],_DATA!$H$3:$I$7,2,FALSE)-VLOOKUP('SL-T'!$B$18,_DATA!$H$3:$I$7,2,FALSE))</f>
        <v>0</v>
      </c>
      <c r="AG54" s="114"/>
      <c r="AH54" s="115"/>
    </row>
    <row r="55" spans="1:34" ht="28.8">
      <c r="A55" s="108" t="str">
        <f>Attacker_Threat_Zone[[#This Row],[Threat Name]]</f>
        <v>IND.3.2.7 Insecure design of OT remote maintenance accesses</v>
      </c>
      <c r="B55" s="97" t="str">
        <f>IF(ISBLANK(Attacker_Threat_Zone[[#This Row],[Relevance]]),"No",Attacker_Threat_Zone[[#This Row],[Relevance]])</f>
        <v>No</v>
      </c>
      <c r="C55" s="116"/>
      <c r="D55" s="109"/>
      <c r="E55" s="152" t="str">
        <f>VLOOKUP(Risk_Evaluation[[#This Row],[Threat Catalogue]],_3_3_OVERVIEW_PRE!$A$7:$B$66,2,FALSE)</f>
        <v/>
      </c>
      <c r="F55" s="151"/>
      <c r="G55" s="193" t="str">
        <f>IF(ISBLANK(Attacker_Threat_Zone[[#This Row],[Exposure]]),"",Attacker_Threat_Zone[[#This Row],[Exposure]])</f>
        <v/>
      </c>
      <c r="H55" s="110"/>
      <c r="I55" s="193" t="str">
        <f>IF(ISBLANK(Attacker_Threat_Zone[[#This Row],[Vulnerability]]),"",Attacker_Threat_Zone[[#This Row],[Vulnerability]])</f>
        <v/>
      </c>
      <c r="J55" s="110"/>
      <c r="K55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5" s="28" t="str">
        <f>Attacker_Threat_Zone[[#This Row],[Impact
Max]]</f>
        <v xml:space="preserve"> </v>
      </c>
      <c r="M55" s="110"/>
      <c r="N55" s="99" t="str" cm="1">
        <f t="array" ref="N55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5" s="99">
        <f>IF(OR('SL-T'!$B$18="",Risk_Evaluation[[#This Row],[Actual Risk - 
G-6b]]=""),0,VLOOKUP(Risk_Evaluation[[#This Row],[Actual Risk - 
G-6b]],_DATA!$H$3:$I$7,2,FALSE)-VLOOKUP('SL-T'!$B$18,_DATA!$H$3:$I$7,2,FALSE))</f>
        <v>0</v>
      </c>
      <c r="P55" s="100" t="str">
        <f>VLOOKUP(Risk_Evaluation[[#This Row],[Threat Catalogue]],_3_3_OVERVIEW_MITIGATING!$A$7:$B$66,2,FALSE)</f>
        <v/>
      </c>
      <c r="Q55" s="101"/>
      <c r="R55" s="110"/>
      <c r="S55" s="110"/>
      <c r="T55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5" s="110"/>
      <c r="V55" s="111" t="str">
        <f t="array" ref="V55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5" s="103">
        <f>IF(OR('SL-T'!$B$18="",Risk_Evaluation[[#This Row],[Actual Risk - 
G-6d]]=""),0,VLOOKUP(Risk_Evaluation[[#This Row],[Actual Risk - 
G-6d]],_DATA!$H$3:$I$7,2,FALSE)-VLOOKUP('SL-T'!$B$18,_DATA!$H$3:$I$7,2,FALSE))</f>
        <v>0</v>
      </c>
      <c r="X55" s="137" t="str">
        <f>VLOOKUP(Risk_Evaluation[[#This Row],[Threat Catalogue]],_2_1_OVERVIEW!$A$7:$B$66,2,FALSE)</f>
        <v/>
      </c>
      <c r="Y55" s="104"/>
      <c r="Z55" s="141"/>
      <c r="AA55" s="112"/>
      <c r="AB55" s="112"/>
      <c r="AC55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5" s="112"/>
      <c r="AE55" s="113" t="str">
        <f t="array" ref="AE55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5" s="106">
        <f>IF(OR('SL-T'!$B$18="",Risk_Evaluation[[#This Row],[Actual Risk - 
G-6f]]=""),0,VLOOKUP(Risk_Evaluation[[#This Row],[Actual Risk - 
G-6f]],_DATA!$H$3:$I$7,2,FALSE)-VLOOKUP('SL-T'!$B$18,_DATA!$H$3:$I$7,2,FALSE))</f>
        <v>0</v>
      </c>
      <c r="AG55" s="114"/>
      <c r="AH55" s="115"/>
    </row>
    <row r="56" spans="1:34" ht="28.8">
      <c r="A56" s="108" t="str">
        <f>Attacker_Threat_Zone[[#This Row],[Threat Name]]</f>
        <v>IND.3.2.8 Outdated technical concepts for OT remote maintenance access</v>
      </c>
      <c r="B56" s="97" t="str">
        <f>IF(ISBLANK(Attacker_Threat_Zone[[#This Row],[Relevance]]),"No",Attacker_Threat_Zone[[#This Row],[Relevance]])</f>
        <v>No</v>
      </c>
      <c r="C56" s="116"/>
      <c r="D56" s="109"/>
      <c r="E56" s="152" t="str">
        <f>VLOOKUP(Risk_Evaluation[[#This Row],[Threat Catalogue]],_3_3_OVERVIEW_PRE!$A$7:$B$66,2,FALSE)</f>
        <v/>
      </c>
      <c r="F56" s="151"/>
      <c r="G56" s="193" t="str">
        <f>IF(ISBLANK(Attacker_Threat_Zone[[#This Row],[Exposure]]),"",Attacker_Threat_Zone[[#This Row],[Exposure]])</f>
        <v/>
      </c>
      <c r="H56" s="110"/>
      <c r="I56" s="193" t="str">
        <f>IF(ISBLANK(Attacker_Threat_Zone[[#This Row],[Vulnerability]]),"",Attacker_Threat_Zone[[#This Row],[Vulnerability]])</f>
        <v/>
      </c>
      <c r="J56" s="110"/>
      <c r="K56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6" s="28" t="str">
        <f>Attacker_Threat_Zone[[#This Row],[Impact
Max]]</f>
        <v xml:space="preserve"> </v>
      </c>
      <c r="M56" s="110"/>
      <c r="N56" s="99" t="str" cm="1">
        <f t="array" ref="N56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6" s="99">
        <f>IF(OR('SL-T'!$B$18="",Risk_Evaluation[[#This Row],[Actual Risk - 
G-6b]]=""),0,VLOOKUP(Risk_Evaluation[[#This Row],[Actual Risk - 
G-6b]],_DATA!$H$3:$I$7,2,FALSE)-VLOOKUP('SL-T'!$B$18,_DATA!$H$3:$I$7,2,FALSE))</f>
        <v>0</v>
      </c>
      <c r="P56" s="100" t="str">
        <f>VLOOKUP(Risk_Evaluation[[#This Row],[Threat Catalogue]],_3_3_OVERVIEW_MITIGATING!$A$7:$B$66,2,FALSE)</f>
        <v/>
      </c>
      <c r="Q56" s="101"/>
      <c r="R56" s="110"/>
      <c r="S56" s="110"/>
      <c r="T56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6" s="110"/>
      <c r="V56" s="111" t="str">
        <f t="array" ref="V56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6" s="103">
        <f>IF(OR('SL-T'!$B$18="",Risk_Evaluation[[#This Row],[Actual Risk - 
G-6d]]=""),0,VLOOKUP(Risk_Evaluation[[#This Row],[Actual Risk - 
G-6d]],_DATA!$H$3:$I$7,2,FALSE)-VLOOKUP('SL-T'!$B$18,_DATA!$H$3:$I$7,2,FALSE))</f>
        <v>0</v>
      </c>
      <c r="X56" s="137" t="str">
        <f>VLOOKUP(Risk_Evaluation[[#This Row],[Threat Catalogue]],_2_1_OVERVIEW!$A$7:$B$66,2,FALSE)</f>
        <v/>
      </c>
      <c r="Y56" s="104"/>
      <c r="Z56" s="141"/>
      <c r="AA56" s="112"/>
      <c r="AB56" s="112"/>
      <c r="AC56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6" s="112"/>
      <c r="AE56" s="113" t="str">
        <f t="array" ref="AE56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6" s="106">
        <f>IF(OR('SL-T'!$B$18="",Risk_Evaluation[[#This Row],[Actual Risk - 
G-6f]]=""),0,VLOOKUP(Risk_Evaluation[[#This Row],[Actual Risk - 
G-6f]],_DATA!$H$3:$I$7,2,FALSE)-VLOOKUP('SL-T'!$B$18,_DATA!$H$3:$I$7,2,FALSE))</f>
        <v>0</v>
      </c>
      <c r="AG56" s="114"/>
      <c r="AH56" s="115"/>
    </row>
    <row r="57" spans="1:34" ht="28.8">
      <c r="A57" s="108" t="str">
        <f>Attacker_Threat_Zone[[#This Row],[Threat Name]]</f>
        <v>CON.1.1 Insufficient key management for encryption</v>
      </c>
      <c r="B57" s="97" t="str">
        <f>IF(ISBLANK(Attacker_Threat_Zone[[#This Row],[Relevance]]),"No",Attacker_Threat_Zone[[#This Row],[Relevance]])</f>
        <v>No</v>
      </c>
      <c r="C57" s="116"/>
      <c r="D57" s="109"/>
      <c r="E57" s="152" t="str">
        <f>VLOOKUP(Risk_Evaluation[[#This Row],[Threat Catalogue]],_3_3_OVERVIEW_PRE!$A$7:$B$66,2,FALSE)</f>
        <v/>
      </c>
      <c r="F57" s="151"/>
      <c r="G57" s="193" t="str">
        <f>IF(ISBLANK(Attacker_Threat_Zone[[#This Row],[Exposure]]),"",Attacker_Threat_Zone[[#This Row],[Exposure]])</f>
        <v/>
      </c>
      <c r="H57" s="110"/>
      <c r="I57" s="193" t="str">
        <f>IF(ISBLANK(Attacker_Threat_Zone[[#This Row],[Vulnerability]]),"",Attacker_Threat_Zone[[#This Row],[Vulnerability]])</f>
        <v/>
      </c>
      <c r="J57" s="110"/>
      <c r="K57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7" s="28" t="str">
        <f>Attacker_Threat_Zone[[#This Row],[Impact
Max]]</f>
        <v xml:space="preserve"> </v>
      </c>
      <c r="M57" s="110"/>
      <c r="N57" s="99" t="str" cm="1">
        <f t="array" ref="N57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7" s="99">
        <f>IF(OR('SL-T'!$B$18="",Risk_Evaluation[[#This Row],[Actual Risk - 
G-6b]]=""),0,VLOOKUP(Risk_Evaluation[[#This Row],[Actual Risk - 
G-6b]],_DATA!$H$3:$I$7,2,FALSE)-VLOOKUP('SL-T'!$B$18,_DATA!$H$3:$I$7,2,FALSE))</f>
        <v>0</v>
      </c>
      <c r="P57" s="100" t="str">
        <f>VLOOKUP(Risk_Evaluation[[#This Row],[Threat Catalogue]],_3_3_OVERVIEW_MITIGATING!$A$7:$B$66,2,FALSE)</f>
        <v/>
      </c>
      <c r="Q57" s="101"/>
      <c r="R57" s="110"/>
      <c r="S57" s="110"/>
      <c r="T57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7" s="110"/>
      <c r="V57" s="111" t="str">
        <f t="array" ref="V57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7" s="103">
        <f>IF(OR('SL-T'!$B$18="",Risk_Evaluation[[#This Row],[Actual Risk - 
G-6d]]=""),0,VLOOKUP(Risk_Evaluation[[#This Row],[Actual Risk - 
G-6d]],_DATA!$H$3:$I$7,2,FALSE)-VLOOKUP('SL-T'!$B$18,_DATA!$H$3:$I$7,2,FALSE))</f>
        <v>0</v>
      </c>
      <c r="X57" s="137" t="str">
        <f>VLOOKUP(Risk_Evaluation[[#This Row],[Threat Catalogue]],_2_1_OVERVIEW!$A$7:$B$66,2,FALSE)</f>
        <v/>
      </c>
      <c r="Y57" s="104"/>
      <c r="Z57" s="141"/>
      <c r="AA57" s="112"/>
      <c r="AB57" s="112"/>
      <c r="AC57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7" s="112"/>
      <c r="AE57" s="113" t="str">
        <f t="array" ref="AE57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7" s="106">
        <f>IF(OR('SL-T'!$B$18="",Risk_Evaluation[[#This Row],[Actual Risk - 
G-6f]]=""),0,VLOOKUP(Risk_Evaluation[[#This Row],[Actual Risk - 
G-6f]],_DATA!$H$3:$I$7,2,FALSE)-VLOOKUP('SL-T'!$B$18,_DATA!$H$3:$I$7,2,FALSE))</f>
        <v>0</v>
      </c>
      <c r="AG57" s="114"/>
      <c r="AH57" s="115"/>
    </row>
    <row r="58" spans="1:34">
      <c r="A58" s="108" t="str">
        <f>Attacker_Threat_Zone[[#This Row],[Threat Name]]</f>
        <v>CON.1.8 Compromise of cryptographic keys</v>
      </c>
      <c r="B58" s="97" t="str">
        <f>IF(ISBLANK(Attacker_Threat_Zone[[#This Row],[Relevance]]),"No",Attacker_Threat_Zone[[#This Row],[Relevance]])</f>
        <v>No</v>
      </c>
      <c r="C58" s="116"/>
      <c r="D58" s="109"/>
      <c r="E58" s="152" t="str">
        <f>VLOOKUP(Risk_Evaluation[[#This Row],[Threat Catalogue]],_3_3_OVERVIEW_PRE!$A$7:$B$66,2,FALSE)</f>
        <v/>
      </c>
      <c r="F58" s="151"/>
      <c r="G58" s="193" t="str">
        <f>IF(ISBLANK(Attacker_Threat_Zone[[#This Row],[Exposure]]),"",Attacker_Threat_Zone[[#This Row],[Exposure]])</f>
        <v/>
      </c>
      <c r="H58" s="110"/>
      <c r="I58" s="193" t="str">
        <f>IF(ISBLANK(Attacker_Threat_Zone[[#This Row],[Vulnerability]]),"",Attacker_Threat_Zone[[#This Row],[Vulnerability]])</f>
        <v/>
      </c>
      <c r="J58" s="110"/>
      <c r="K58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8" s="28" t="str">
        <f>Attacker_Threat_Zone[[#This Row],[Impact
Max]]</f>
        <v xml:space="preserve"> </v>
      </c>
      <c r="M58" s="110"/>
      <c r="N58" s="99" t="str" cm="1">
        <f t="array" ref="N58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8" s="99">
        <f>IF(OR('SL-T'!$B$18="",Risk_Evaluation[[#This Row],[Actual Risk - 
G-6b]]=""),0,VLOOKUP(Risk_Evaluation[[#This Row],[Actual Risk - 
G-6b]],_DATA!$H$3:$I$7,2,FALSE)-VLOOKUP('SL-T'!$B$18,_DATA!$H$3:$I$7,2,FALSE))</f>
        <v>0</v>
      </c>
      <c r="P58" s="100" t="str">
        <f>VLOOKUP(Risk_Evaluation[[#This Row],[Threat Catalogue]],_3_3_OVERVIEW_MITIGATING!$A$7:$B$66,2,FALSE)</f>
        <v/>
      </c>
      <c r="Q58" s="101"/>
      <c r="R58" s="110"/>
      <c r="S58" s="110"/>
      <c r="T58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8" s="110"/>
      <c r="V58" s="111" t="str">
        <f t="array" ref="V58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8" s="103">
        <f>IF(OR('SL-T'!$B$18="",Risk_Evaluation[[#This Row],[Actual Risk - 
G-6d]]=""),0,VLOOKUP(Risk_Evaluation[[#This Row],[Actual Risk - 
G-6d]],_DATA!$H$3:$I$7,2,FALSE)-VLOOKUP('SL-T'!$B$18,_DATA!$H$3:$I$7,2,FALSE))</f>
        <v>0</v>
      </c>
      <c r="X58" s="137" t="str">
        <f>VLOOKUP(Risk_Evaluation[[#This Row],[Threat Catalogue]],_2_1_OVERVIEW!$A$7:$B$66,2,FALSE)</f>
        <v/>
      </c>
      <c r="Y58" s="104"/>
      <c r="Z58" s="141"/>
      <c r="AA58" s="112"/>
      <c r="AB58" s="112"/>
      <c r="AC58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8" s="112"/>
      <c r="AE58" s="113" t="str">
        <f t="array" ref="AE58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8" s="106">
        <f>IF(OR('SL-T'!$B$18="",Risk_Evaluation[[#This Row],[Actual Risk - 
G-6f]]=""),0,VLOOKUP(Risk_Evaluation[[#This Row],[Actual Risk - 
G-6f]],_DATA!$H$3:$I$7,2,FALSE)-VLOOKUP('SL-T'!$B$18,_DATA!$H$3:$I$7,2,FALSE))</f>
        <v>0</v>
      </c>
      <c r="AG58" s="114"/>
      <c r="AH58" s="115"/>
    </row>
    <row r="59" spans="1:34">
      <c r="A59" s="108" t="str">
        <f>Attacker_Threat_Zone[[#This Row],[Threat Name]]</f>
        <v>CON.1.9 Forged certificates</v>
      </c>
      <c r="B59" s="97" t="str">
        <f>IF(ISBLANK(Attacker_Threat_Zone[[#This Row],[Relevance]]),"No",Attacker_Threat_Zone[[#This Row],[Relevance]])</f>
        <v>No</v>
      </c>
      <c r="C59" s="116"/>
      <c r="D59" s="109"/>
      <c r="E59" s="152" t="str">
        <f>VLOOKUP(Risk_Evaluation[[#This Row],[Threat Catalogue]],_3_3_OVERVIEW_PRE!$A$7:$B$66,2,FALSE)</f>
        <v/>
      </c>
      <c r="F59" s="151"/>
      <c r="G59" s="193" t="str">
        <f>IF(ISBLANK(Attacker_Threat_Zone[[#This Row],[Exposure]]),"",Attacker_Threat_Zone[[#This Row],[Exposure]])</f>
        <v/>
      </c>
      <c r="H59" s="110"/>
      <c r="I59" s="193" t="str">
        <f>IF(ISBLANK(Attacker_Threat_Zone[[#This Row],[Vulnerability]]),"",Attacker_Threat_Zone[[#This Row],[Vulnerability]])</f>
        <v/>
      </c>
      <c r="J59" s="110"/>
      <c r="K59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59" s="28" t="str">
        <f>Attacker_Threat_Zone[[#This Row],[Impact
Max]]</f>
        <v xml:space="preserve"> </v>
      </c>
      <c r="M59" s="110"/>
      <c r="N59" s="99" t="str" cm="1">
        <f t="array" ref="N59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59" s="99">
        <f>IF(OR('SL-T'!$B$18="",Risk_Evaluation[[#This Row],[Actual Risk - 
G-6b]]=""),0,VLOOKUP(Risk_Evaluation[[#This Row],[Actual Risk - 
G-6b]],_DATA!$H$3:$I$7,2,FALSE)-VLOOKUP('SL-T'!$B$18,_DATA!$H$3:$I$7,2,FALSE))</f>
        <v>0</v>
      </c>
      <c r="P59" s="100" t="str">
        <f>VLOOKUP(Risk_Evaluation[[#This Row],[Threat Catalogue]],_3_3_OVERVIEW_MITIGATING!$A$7:$B$66,2,FALSE)</f>
        <v/>
      </c>
      <c r="Q59" s="101"/>
      <c r="R59" s="110"/>
      <c r="S59" s="110"/>
      <c r="T59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59" s="110"/>
      <c r="V59" s="111" t="str">
        <f t="array" ref="V59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59" s="103">
        <f>IF(OR('SL-T'!$B$18="",Risk_Evaluation[[#This Row],[Actual Risk - 
G-6d]]=""),0,VLOOKUP(Risk_Evaluation[[#This Row],[Actual Risk - 
G-6d]],_DATA!$H$3:$I$7,2,FALSE)-VLOOKUP('SL-T'!$B$18,_DATA!$H$3:$I$7,2,FALSE))</f>
        <v>0</v>
      </c>
      <c r="X59" s="137" t="str">
        <f>VLOOKUP(Risk_Evaluation[[#This Row],[Threat Catalogue]],_2_1_OVERVIEW!$A$7:$B$66,2,FALSE)</f>
        <v/>
      </c>
      <c r="Y59" s="104"/>
      <c r="Z59" s="141"/>
      <c r="AA59" s="112"/>
      <c r="AB59" s="112"/>
      <c r="AC59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59" s="112"/>
      <c r="AE59" s="113" t="str">
        <f t="array" ref="AE59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59" s="106">
        <f>IF(OR('SL-T'!$B$18="",Risk_Evaluation[[#This Row],[Actual Risk - 
G-6f]]=""),0,VLOOKUP(Risk_Evaluation[[#This Row],[Actual Risk - 
G-6f]],_DATA!$H$3:$I$7,2,FALSE)-VLOOKUP('SL-T'!$B$18,_DATA!$H$3:$I$7,2,FALSE))</f>
        <v>0</v>
      </c>
      <c r="AG59" s="114"/>
      <c r="AH59" s="115"/>
    </row>
    <row r="60" spans="1:34">
      <c r="A60" s="108" t="str">
        <f>Attacker_Threat_Zone[[#This Row],[Threat Name]]</f>
        <v>CON.3.1 Missing data backup</v>
      </c>
      <c r="B60" s="97" t="str">
        <f>IF(ISBLANK(Attacker_Threat_Zone[[#This Row],[Relevance]]),"No",Attacker_Threat_Zone[[#This Row],[Relevance]])</f>
        <v>No</v>
      </c>
      <c r="C60" s="116"/>
      <c r="D60" s="109"/>
      <c r="E60" s="152" t="str">
        <f>VLOOKUP(Risk_Evaluation[[#This Row],[Threat Catalogue]],_3_3_OVERVIEW_PRE!$A$7:$B$66,2,FALSE)</f>
        <v/>
      </c>
      <c r="F60" s="151"/>
      <c r="G60" s="193" t="str">
        <f>IF(ISBLANK(Attacker_Threat_Zone[[#This Row],[Exposure]]),"",Attacker_Threat_Zone[[#This Row],[Exposure]])</f>
        <v/>
      </c>
      <c r="H60" s="110"/>
      <c r="I60" s="193" t="str">
        <f>IF(ISBLANK(Attacker_Threat_Zone[[#This Row],[Vulnerability]]),"",Attacker_Threat_Zone[[#This Row],[Vulnerability]])</f>
        <v/>
      </c>
      <c r="J60" s="110"/>
      <c r="K60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60" s="28" t="str">
        <f>Attacker_Threat_Zone[[#This Row],[Impact
Max]]</f>
        <v xml:space="preserve"> </v>
      </c>
      <c r="M60" s="110"/>
      <c r="N60" s="99" t="str" cm="1">
        <f t="array" ref="N60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60" s="99">
        <f>IF(OR('SL-T'!$B$18="",Risk_Evaluation[[#This Row],[Actual Risk - 
G-6b]]=""),0,VLOOKUP(Risk_Evaluation[[#This Row],[Actual Risk - 
G-6b]],_DATA!$H$3:$I$7,2,FALSE)-VLOOKUP('SL-T'!$B$18,_DATA!$H$3:$I$7,2,FALSE))</f>
        <v>0</v>
      </c>
      <c r="P60" s="100" t="str">
        <f>VLOOKUP(Risk_Evaluation[[#This Row],[Threat Catalogue]],_3_3_OVERVIEW_MITIGATING!$A$7:$B$66,2,FALSE)</f>
        <v/>
      </c>
      <c r="Q60" s="101"/>
      <c r="R60" s="110"/>
      <c r="S60" s="110"/>
      <c r="T60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0" s="110"/>
      <c r="V60" s="111" t="str">
        <f t="array" ref="V60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0" s="103">
        <f>IF(OR('SL-T'!$B$18="",Risk_Evaluation[[#This Row],[Actual Risk - 
G-6d]]=""),0,VLOOKUP(Risk_Evaluation[[#This Row],[Actual Risk - 
G-6d]],_DATA!$H$3:$I$7,2,FALSE)-VLOOKUP('SL-T'!$B$18,_DATA!$H$3:$I$7,2,FALSE))</f>
        <v>0</v>
      </c>
      <c r="X60" s="137" t="str">
        <f>VLOOKUP(Risk_Evaluation[[#This Row],[Threat Catalogue]],_2_1_OVERVIEW!$A$7:$B$66,2,FALSE)</f>
        <v/>
      </c>
      <c r="Y60" s="104"/>
      <c r="Z60" s="141"/>
      <c r="AA60" s="112"/>
      <c r="AB60" s="112"/>
      <c r="AC60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0" s="112"/>
      <c r="AE60" s="113" t="str">
        <f t="array" ref="AE60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0" s="106">
        <f>IF(OR('SL-T'!$B$18="",Risk_Evaluation[[#This Row],[Actual Risk - 
G-6f]]=""),0,VLOOKUP(Risk_Evaluation[[#This Row],[Actual Risk - 
G-6f]],_DATA!$H$3:$I$7,2,FALSE)-VLOOKUP('SL-T'!$B$18,_DATA!$H$3:$I$7,2,FALSE))</f>
        <v>0</v>
      </c>
      <c r="AG60" s="114"/>
      <c r="AH60" s="115"/>
    </row>
    <row r="61" spans="1:34">
      <c r="A61" s="108" t="str">
        <f>Attacker_Threat_Zone[[#This Row],[Threat Name]]</f>
        <v>CON.3.2 Missing recovery tests</v>
      </c>
      <c r="B61" s="97" t="str">
        <f>IF(ISBLANK(Attacker_Threat_Zone[[#This Row],[Relevance]]),"No",Attacker_Threat_Zone[[#This Row],[Relevance]])</f>
        <v>No</v>
      </c>
      <c r="C61" s="116"/>
      <c r="D61" s="109"/>
      <c r="E61" s="152" t="str">
        <f>VLOOKUP(Risk_Evaluation[[#This Row],[Threat Catalogue]],_3_3_OVERVIEW_PRE!$A$7:$B$66,2,FALSE)</f>
        <v/>
      </c>
      <c r="F61" s="151"/>
      <c r="G61" s="193" t="str">
        <f>IF(ISBLANK(Attacker_Threat_Zone[[#This Row],[Exposure]]),"",Attacker_Threat_Zone[[#This Row],[Exposure]])</f>
        <v/>
      </c>
      <c r="H61" s="110"/>
      <c r="I61" s="193" t="str">
        <f>IF(ISBLANK(Attacker_Threat_Zone[[#This Row],[Vulnerability]]),"",Attacker_Threat_Zone[[#This Row],[Vulnerability]])</f>
        <v/>
      </c>
      <c r="J61" s="110"/>
      <c r="K61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61" s="28" t="str">
        <f>Attacker_Threat_Zone[[#This Row],[Impact
Max]]</f>
        <v xml:space="preserve"> </v>
      </c>
      <c r="M61" s="110"/>
      <c r="N61" s="99" t="str" cm="1">
        <f t="array" ref="N61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61" s="99">
        <f>IF(OR('SL-T'!$B$18="",Risk_Evaluation[[#This Row],[Actual Risk - 
G-6b]]=""),0,VLOOKUP(Risk_Evaluation[[#This Row],[Actual Risk - 
G-6b]],_DATA!$H$3:$I$7,2,FALSE)-VLOOKUP('SL-T'!$B$18,_DATA!$H$3:$I$7,2,FALSE))</f>
        <v>0</v>
      </c>
      <c r="P61" s="100" t="str">
        <f>VLOOKUP(Risk_Evaluation[[#This Row],[Threat Catalogue]],_3_3_OVERVIEW_MITIGATING!$A$7:$B$66,2,FALSE)</f>
        <v/>
      </c>
      <c r="Q61" s="101"/>
      <c r="R61" s="110"/>
      <c r="S61" s="110"/>
      <c r="T61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1" s="110"/>
      <c r="V61" s="111" t="str">
        <f t="array" ref="V61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1" s="103">
        <f>IF(OR('SL-T'!$B$18="",Risk_Evaluation[[#This Row],[Actual Risk - 
G-6d]]=""),0,VLOOKUP(Risk_Evaluation[[#This Row],[Actual Risk - 
G-6d]],_DATA!$H$3:$I$7,2,FALSE)-VLOOKUP('SL-T'!$B$18,_DATA!$H$3:$I$7,2,FALSE))</f>
        <v>0</v>
      </c>
      <c r="X61" s="137" t="str">
        <f>VLOOKUP(Risk_Evaluation[[#This Row],[Threat Catalogue]],_2_1_OVERVIEW!$A$7:$B$66,2,FALSE)</f>
        <v/>
      </c>
      <c r="Y61" s="104"/>
      <c r="Z61" s="141"/>
      <c r="AA61" s="112"/>
      <c r="AB61" s="112"/>
      <c r="AC61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1" s="112"/>
      <c r="AE61" s="113" t="str">
        <f t="array" ref="AE61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1" s="106">
        <f>IF(OR('SL-T'!$B$18="",Risk_Evaluation[[#This Row],[Actual Risk - 
G-6f]]=""),0,VLOOKUP(Risk_Evaluation[[#This Row],[Actual Risk - 
G-6f]],_DATA!$H$3:$I$7,2,FALSE)-VLOOKUP('SL-T'!$B$18,_DATA!$H$3:$I$7,2,FALSE))</f>
        <v>0</v>
      </c>
      <c r="AG61" s="114"/>
      <c r="AH61" s="115"/>
    </row>
    <row r="62" spans="1:34" ht="28.8">
      <c r="A62" s="108" t="str">
        <f>Attacker_Threat_Zone[[#This Row],[Threat Name]]</f>
        <v>OPS.1.1.3.5 Problems with the automated distribution of patches and changes</v>
      </c>
      <c r="B62" s="97" t="str">
        <f>IF(ISBLANK(Attacker_Threat_Zone[[#This Row],[Relevance]]),"No",Attacker_Threat_Zone[[#This Row],[Relevance]])</f>
        <v>No</v>
      </c>
      <c r="C62" s="116"/>
      <c r="D62" s="109"/>
      <c r="E62" s="152" t="str">
        <f>VLOOKUP(Risk_Evaluation[[#This Row],[Threat Catalogue]],_3_3_OVERVIEW_PRE!$A$7:$B$66,2,FALSE)</f>
        <v/>
      </c>
      <c r="F62" s="151"/>
      <c r="G62" s="193" t="str">
        <f>IF(ISBLANK(Attacker_Threat_Zone[[#This Row],[Exposure]]),"",Attacker_Threat_Zone[[#This Row],[Exposure]])</f>
        <v/>
      </c>
      <c r="H62" s="110"/>
      <c r="I62" s="193" t="str">
        <f>IF(ISBLANK(Attacker_Threat_Zone[[#This Row],[Vulnerability]]),"",Attacker_Threat_Zone[[#This Row],[Vulnerability]])</f>
        <v/>
      </c>
      <c r="J62" s="110"/>
      <c r="K62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62" s="28" t="str">
        <f>Attacker_Threat_Zone[[#This Row],[Impact
Max]]</f>
        <v xml:space="preserve"> </v>
      </c>
      <c r="M62" s="110"/>
      <c r="N62" s="99" t="str" cm="1">
        <f t="array" ref="N62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62" s="99">
        <f>IF(OR('SL-T'!$B$18="",Risk_Evaluation[[#This Row],[Actual Risk - 
G-6b]]=""),0,VLOOKUP(Risk_Evaluation[[#This Row],[Actual Risk - 
G-6b]],_DATA!$H$3:$I$7,2,FALSE)-VLOOKUP('SL-T'!$B$18,_DATA!$H$3:$I$7,2,FALSE))</f>
        <v>0</v>
      </c>
      <c r="P62" s="100" t="str">
        <f>VLOOKUP(Risk_Evaluation[[#This Row],[Threat Catalogue]],_3_3_OVERVIEW_MITIGATING!$A$7:$B$66,2,FALSE)</f>
        <v/>
      </c>
      <c r="Q62" s="101"/>
      <c r="R62" s="110"/>
      <c r="S62" s="110"/>
      <c r="T62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2" s="110"/>
      <c r="V62" s="111" t="str">
        <f t="array" ref="V62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2" s="103">
        <f>IF(OR('SL-T'!$B$18="",Risk_Evaluation[[#This Row],[Actual Risk - 
G-6d]]=""),0,VLOOKUP(Risk_Evaluation[[#This Row],[Actual Risk - 
G-6d]],_DATA!$H$3:$I$7,2,FALSE)-VLOOKUP('SL-T'!$B$18,_DATA!$H$3:$I$7,2,FALSE))</f>
        <v>0</v>
      </c>
      <c r="X62" s="137" t="str">
        <f>VLOOKUP(Risk_Evaluation[[#This Row],[Threat Catalogue]],_2_1_OVERVIEW!$A$7:$B$66,2,FALSE)</f>
        <v/>
      </c>
      <c r="Y62" s="104"/>
      <c r="Z62" s="141"/>
      <c r="AA62" s="112"/>
      <c r="AB62" s="112"/>
      <c r="AC62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2" s="112"/>
      <c r="AE62" s="113" t="str">
        <f t="array" ref="AE62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2" s="106">
        <f>IF(OR('SL-T'!$B$18="",Risk_Evaluation[[#This Row],[Actual Risk - 
G-6f]]=""),0,VLOOKUP(Risk_Evaluation[[#This Row],[Actual Risk - 
G-6f]],_DATA!$H$3:$I$7,2,FALSE)-VLOOKUP('SL-T'!$B$18,_DATA!$H$3:$I$7,2,FALSE))</f>
        <v>0</v>
      </c>
      <c r="AG62" s="114"/>
      <c r="AH62" s="115"/>
    </row>
    <row r="63" spans="1:34" ht="28.8">
      <c r="A63" s="108" t="str">
        <f>Attacker_Threat_Zone[[#This Row],[Threat Name]]</f>
        <v>OPS.1.1.3.6 Insufficient recovery options for patch and change management</v>
      </c>
      <c r="B63" s="97" t="str">
        <f>IF(ISBLANK(Attacker_Threat_Zone[[#This Row],[Relevance]]),"No",Attacker_Threat_Zone[[#This Row],[Relevance]])</f>
        <v>No</v>
      </c>
      <c r="C63" s="116"/>
      <c r="D63" s="109"/>
      <c r="E63" s="152" t="str">
        <f>VLOOKUP(Risk_Evaluation[[#This Row],[Threat Catalogue]],_3_3_OVERVIEW_PRE!$A$7:$B$66,2,FALSE)</f>
        <v/>
      </c>
      <c r="F63" s="151"/>
      <c r="G63" s="193" t="str">
        <f>IF(ISBLANK(Attacker_Threat_Zone[[#This Row],[Exposure]]),"",Attacker_Threat_Zone[[#This Row],[Exposure]])</f>
        <v/>
      </c>
      <c r="H63" s="110"/>
      <c r="I63" s="193" t="str">
        <f>IF(ISBLANK(Attacker_Threat_Zone[[#This Row],[Vulnerability]]),"",Attacker_Threat_Zone[[#This Row],[Vulnerability]])</f>
        <v/>
      </c>
      <c r="J63" s="110"/>
      <c r="K63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63" s="28" t="str">
        <f>Attacker_Threat_Zone[[#This Row],[Impact
Max]]</f>
        <v xml:space="preserve"> </v>
      </c>
      <c r="M63" s="110"/>
      <c r="N63" s="99" t="str" cm="1">
        <f t="array" ref="N63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63" s="99">
        <f>IF(OR('SL-T'!$B$18="",Risk_Evaluation[[#This Row],[Actual Risk - 
G-6b]]=""),0,VLOOKUP(Risk_Evaluation[[#This Row],[Actual Risk - 
G-6b]],_DATA!$H$3:$I$7,2,FALSE)-VLOOKUP('SL-T'!$B$18,_DATA!$H$3:$I$7,2,FALSE))</f>
        <v>0</v>
      </c>
      <c r="P63" s="100" t="str">
        <f>VLOOKUP(Risk_Evaluation[[#This Row],[Threat Catalogue]],_3_3_OVERVIEW_MITIGATING!$A$7:$B$66,2,FALSE)</f>
        <v/>
      </c>
      <c r="Q63" s="101"/>
      <c r="R63" s="110"/>
      <c r="S63" s="110"/>
      <c r="T63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3" s="110"/>
      <c r="V63" s="111" t="str">
        <f t="array" ref="V63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3" s="103">
        <f>IF(OR('SL-T'!$B$18="",Risk_Evaluation[[#This Row],[Actual Risk - 
G-6d]]=""),0,VLOOKUP(Risk_Evaluation[[#This Row],[Actual Risk - 
G-6d]],_DATA!$H$3:$I$7,2,FALSE)-VLOOKUP('SL-T'!$B$18,_DATA!$H$3:$I$7,2,FALSE))</f>
        <v>0</v>
      </c>
      <c r="X63" s="137" t="str">
        <f>VLOOKUP(Risk_Evaluation[[#This Row],[Threat Catalogue]],_2_1_OVERVIEW!$A$7:$B$66,2,FALSE)</f>
        <v/>
      </c>
      <c r="Y63" s="104"/>
      <c r="Z63" s="141"/>
      <c r="AA63" s="112"/>
      <c r="AB63" s="112"/>
      <c r="AC63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3" s="112"/>
      <c r="AE63" s="113" t="str">
        <f t="array" ref="AE63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3" s="106">
        <f>IF(OR('SL-T'!$B$18="",Risk_Evaluation[[#This Row],[Actual Risk - 
G-6f]]=""),0,VLOOKUP(Risk_Evaluation[[#This Row],[Actual Risk - 
G-6f]],_DATA!$H$3:$I$7,2,FALSE)-VLOOKUP('SL-T'!$B$18,_DATA!$H$3:$I$7,2,FALSE))</f>
        <v>0</v>
      </c>
      <c r="AG63" s="114"/>
      <c r="AH63" s="115"/>
    </row>
    <row r="64" spans="1:34" ht="28.8">
      <c r="A64" s="108" t="str">
        <f>Attacker_Threat_Zone[[#This Row],[Threat Name]]</f>
        <v>OPS.1.1.3.8 Manipulation of data and tools during patch and change management</v>
      </c>
      <c r="B64" s="97" t="str">
        <f>IF(ISBLANK(Attacker_Threat_Zone[[#This Row],[Relevance]]),"No",Attacker_Threat_Zone[[#This Row],[Relevance]])</f>
        <v>No</v>
      </c>
      <c r="C64" s="116"/>
      <c r="D64" s="109"/>
      <c r="E64" s="152" t="str">
        <f>VLOOKUP(Risk_Evaluation[[#This Row],[Threat Catalogue]],_3_3_OVERVIEW_PRE!$A$7:$B$66,2,FALSE)</f>
        <v/>
      </c>
      <c r="F64" s="151"/>
      <c r="G64" s="193" t="str">
        <f>IF(ISBLANK(Attacker_Threat_Zone[[#This Row],[Exposure]]),"",Attacker_Threat_Zone[[#This Row],[Exposure]])</f>
        <v/>
      </c>
      <c r="H64" s="110"/>
      <c r="I64" s="193" t="str">
        <f>IF(ISBLANK(Attacker_Threat_Zone[[#This Row],[Vulnerability]]),"",Attacker_Threat_Zone[[#This Row],[Vulnerability]])</f>
        <v/>
      </c>
      <c r="J64" s="110"/>
      <c r="K64" s="99" t="str">
        <f>IF(OR(Risk_Evaluation[[#This Row],[Exposure - G-6b]]="",Risk_Evaluation[[#This Row],[Vulnerability - 
G-6b]]=""),"",IF(ISBLANK(Risk_Evaluation[[#This Row],[Exposure - 
G-6b
Override]]),Risk_Evaluation[[#This Row],[Exposure - G-6b]],Risk_Evaluation[[#This Row],[Exposure - 
G-6b
Override]])+IF(ISBLANK(Risk_Evaluation[[#This Row],[Vulnerability - 
G-6b
Override]]),Risk_Evaluation[[#This Row],[Vulnerability - 
G-6b]],Risk_Evaluation[[#This Row],[Vulnerability - 
G-6b
Override]])-1)</f>
        <v/>
      </c>
      <c r="L64" s="28" t="str">
        <f>Attacker_Threat_Zone[[#This Row],[Impact
Max]]</f>
        <v xml:space="preserve"> </v>
      </c>
      <c r="M64" s="110"/>
      <c r="N64" s="99" t="str" cm="1">
        <f t="array" ref="N64">IFERROR(INDEX(Risk!$C$4:$F$8,Risk_Evaluation[[#This Row],[Likelihood - 6b]],VLOOKUP(IF(ISBLANK(Risk_Evaluation[[#This Row],[Impact - 
G-6b
Override]]),Risk_Evaluation[[#This Row],[Impact - G-6b]],Risk_Evaluation[[#This Row],[Impact - 
G-6b
Override]]),Impact_Mapping[],2,FALSE)),"")</f>
        <v/>
      </c>
      <c r="O64" s="99">
        <f>IF(OR('SL-T'!$B$18="",Risk_Evaluation[[#This Row],[Actual Risk - 
G-6b]]=""),0,VLOOKUP(Risk_Evaluation[[#This Row],[Actual Risk - 
G-6b]],_DATA!$H$3:$I$7,2,FALSE)-VLOOKUP('SL-T'!$B$18,_DATA!$H$3:$I$7,2,FALSE))</f>
        <v>0</v>
      </c>
      <c r="P64" s="100" t="str">
        <f>VLOOKUP(Risk_Evaluation[[#This Row],[Threat Catalogue]],_3_3_OVERVIEW_MITIGATING!$A$7:$B$66,2,FALSE)</f>
        <v/>
      </c>
      <c r="Q64" s="101"/>
      <c r="R64" s="110"/>
      <c r="S64" s="110"/>
      <c r="T64" s="111" t="str">
        <f>IF(OR(Risk_Evaluation[[#This Row],[Exposure - G-6d]]="",Risk_Evaluation[[#This Row],[Vulnerability - 
G-6d]]=""),"",Risk_Evaluation[[#This Row],[Exposure - G-6d]]+Risk_Evaluation[[#This Row],[Vulnerability - 
G-6d]]-1)</f>
        <v/>
      </c>
      <c r="U64" s="110"/>
      <c r="V64" s="111" t="str">
        <f t="array" ref="V64">IF(OR(Risk_Evaluation[[#This Row],[Exposure - G-6d]]="",Risk_Evaluation[[#This Row],[Vulnerability - 
G-6d]]=""),"",INDEX(Risk!$C$4:$F$8,Risk_Evaluation[[#This Row],[Likelihood - 
G-6d]],VLOOKUP(Risk_Evaluation[[#This Row],[Impact - G-6d]],Impact_Mapping[],2,FALSE)))</f>
        <v/>
      </c>
      <c r="W64" s="103">
        <f>IF(OR('SL-T'!$B$18="",Risk_Evaluation[[#This Row],[Actual Risk - 
G-6d]]=""),0,VLOOKUP(Risk_Evaluation[[#This Row],[Actual Risk - 
G-6d]],_DATA!$H$3:$I$7,2,FALSE)-VLOOKUP('SL-T'!$B$18,_DATA!$H$3:$I$7,2,FALSE))</f>
        <v>0</v>
      </c>
      <c r="X64" s="137" t="str">
        <f>VLOOKUP(Risk_Evaluation[[#This Row],[Threat Catalogue]],_2_1_OVERVIEW!$A$7:$B$66,2,FALSE)</f>
        <v/>
      </c>
      <c r="Y64" s="104"/>
      <c r="Z64" s="141"/>
      <c r="AA64" s="112"/>
      <c r="AB64" s="112"/>
      <c r="AC64" s="113" t="str">
        <f>IF(OR(Risk_Evaluation[[#This Row],[Exposure - 
G-6f]]="",Risk_Evaluation[[#This Row],[Vulnerability - 
G-6f]]=""),"",Risk_Evaluation[[#This Row],[Exposure - 
G-6f]]+Risk_Evaluation[[#This Row],[Vulnerability - 
G-6f]]-1)</f>
        <v/>
      </c>
      <c r="AD64" s="112"/>
      <c r="AE64" s="113" t="str">
        <f t="array" ref="AE64">IF(OR(Risk_Evaluation[[#This Row],[Exposure - 
G-6f]]="",Risk_Evaluation[[#This Row],[Vulnerability - 
G-6f]]=""),"",INDEX(Risk!$C$4:$F$8,Risk_Evaluation[[#This Row],[Likelihood - 
G-6f]],VLOOKUP(Risk_Evaluation[[#This Row],[Impact  - G-6f]],Impact_Mapping[],2,FALSE)))</f>
        <v/>
      </c>
      <c r="AF64" s="106">
        <f>IF(OR('SL-T'!$B$18="",Risk_Evaluation[[#This Row],[Actual Risk - 
G-6f]]=""),0,VLOOKUP(Risk_Evaluation[[#This Row],[Actual Risk - 
G-6f]],_DATA!$H$3:$I$7,2,FALSE)-VLOOKUP('SL-T'!$B$18,_DATA!$H$3:$I$7,2,FALSE))</f>
        <v>0</v>
      </c>
      <c r="AG64" s="114"/>
      <c r="AH64" s="115"/>
    </row>
  </sheetData>
  <mergeCells count="9">
    <mergeCell ref="AF4:AG4"/>
    <mergeCell ref="A1:Y1"/>
    <mergeCell ref="A4:D4"/>
    <mergeCell ref="R4:V4"/>
    <mergeCell ref="AA4:AE4"/>
    <mergeCell ref="P4:Q4"/>
    <mergeCell ref="G2:N4"/>
    <mergeCell ref="X2:Y4"/>
    <mergeCell ref="E2:F4"/>
  </mergeCells>
  <conditionalFormatting sqref="B2 N6:N64 V6:V64 AE6:AE64">
    <cfRule type="cellIs" dxfId="7" priority="4" operator="equal">
      <formula>"Significant"</formula>
    </cfRule>
    <cfRule type="cellIs" dxfId="6" priority="5" operator="equal">
      <formula>"Very High"</formula>
    </cfRule>
    <cfRule type="cellIs" dxfId="5" priority="6" operator="equal">
      <formula>"High"</formula>
    </cfRule>
    <cfRule type="cellIs" dxfId="4" priority="7" operator="equal">
      <formula>"Medium"</formula>
    </cfRule>
    <cfRule type="cellIs" dxfId="3" priority="8" operator="equal">
      <formula>"Low"</formula>
    </cfRule>
  </conditionalFormatting>
  <conditionalFormatting sqref="O6:O64 W6:W64 AF6:AF64">
    <cfRule type="cellIs" dxfId="2" priority="1" operator="greaterThan">
      <formula>1</formula>
    </cfRule>
    <cfRule type="cellIs" dxfId="1" priority="2" operator="equal">
      <formula>1</formula>
    </cfRule>
    <cfRule type="cellIs" dxfId="0" priority="3" operator="equal">
      <formula>0</formula>
    </cfRule>
  </conditionalFormatting>
  <dataValidations count="1">
    <dataValidation type="list" allowBlank="1" showInputMessage="1" showErrorMessage="1" sqref="AA6:AB64 R6:S64 H6:H64 J6:J64" xr:uid="{00000000-0002-0000-0700-000000000000}">
      <formula1>"1,2,3"</formula1>
    </dataValidation>
  </dataValidations>
  <pageMargins left="0.7" right="0.7" top="0.78740157499999996" bottom="0.78740157499999996" header="0.3" footer="0.3"/>
  <pageSetup paperSize="9" orientation="portrait" horizontalDpi="4294967294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338CDC-3C53-4115-8D27-56A4C18279D1}">
          <x14:formula1>
            <xm:f>_DATA!$D$3:$D$6</xm:f>
          </x14:formula1>
          <xm:sqref>U6:U64 AD6:AD64 M6:M64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>
    <tabColor rgb="FF92D050"/>
  </sheetPr>
  <dimension ref="A1:U12"/>
  <sheetViews>
    <sheetView zoomScaleNormal="100" workbookViewId="0">
      <selection activeCell="C12" sqref="C12"/>
    </sheetView>
  </sheetViews>
  <sheetFormatPr baseColWidth="10" defaultColWidth="11.5546875" defaultRowHeight="14.4"/>
  <cols>
    <col min="2" max="2" width="31.33203125" customWidth="1"/>
    <col min="3" max="3" width="40.5546875" customWidth="1"/>
    <col min="4" max="4" width="38.109375" customWidth="1"/>
  </cols>
  <sheetData>
    <row r="1" spans="1:21" ht="34.950000000000003" customHeight="1" thickBot="1">
      <c r="A1" s="202" t="s">
        <v>0</v>
      </c>
      <c r="B1" s="202"/>
      <c r="C1" s="202"/>
      <c r="D1" s="202"/>
      <c r="E1" s="202"/>
      <c r="F1" s="202"/>
      <c r="G1" s="202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</row>
    <row r="2" spans="1:21" ht="15" thickBot="1">
      <c r="A2" s="42" t="s">
        <v>413</v>
      </c>
      <c r="B2" s="43" t="s">
        <v>414</v>
      </c>
      <c r="C2" s="43" t="s">
        <v>415</v>
      </c>
      <c r="D2" s="42" t="s">
        <v>416</v>
      </c>
      <c r="E2" s="133"/>
    </row>
    <row r="3" spans="1:21" ht="28.2" thickBot="1">
      <c r="A3" s="42" t="s">
        <v>83</v>
      </c>
      <c r="B3" s="37" t="s">
        <v>417</v>
      </c>
      <c r="C3" s="37" t="s">
        <v>418</v>
      </c>
      <c r="D3" s="36" t="s">
        <v>419</v>
      </c>
      <c r="E3" s="133"/>
    </row>
    <row r="4" spans="1:21" ht="42" thickBot="1">
      <c r="A4" s="42" t="s">
        <v>87</v>
      </c>
      <c r="B4" s="37" t="s">
        <v>420</v>
      </c>
      <c r="C4" s="37" t="s">
        <v>421</v>
      </c>
      <c r="D4" s="36" t="s">
        <v>422</v>
      </c>
      <c r="E4" s="133"/>
    </row>
    <row r="5" spans="1:21" ht="42" thickBot="1">
      <c r="A5" s="42" t="s">
        <v>81</v>
      </c>
      <c r="B5" s="37" t="s">
        <v>423</v>
      </c>
      <c r="C5" s="37" t="s">
        <v>424</v>
      </c>
      <c r="D5" s="36" t="s">
        <v>425</v>
      </c>
      <c r="E5" s="133"/>
    </row>
    <row r="6" spans="1:21" ht="55.8" thickBot="1">
      <c r="A6" s="42" t="s">
        <v>85</v>
      </c>
      <c r="B6" s="37" t="s">
        <v>426</v>
      </c>
      <c r="C6" s="37" t="s">
        <v>427</v>
      </c>
      <c r="D6" s="36" t="s">
        <v>428</v>
      </c>
      <c r="E6" s="133"/>
    </row>
    <row r="7" spans="1:21">
      <c r="A7" t="s">
        <v>429</v>
      </c>
      <c r="E7" s="133"/>
    </row>
    <row r="8" spans="1:21" ht="15" thickBot="1">
      <c r="E8" s="133"/>
    </row>
    <row r="9" spans="1:21" ht="28.2" thickBot="1">
      <c r="A9" s="42" t="s">
        <v>430</v>
      </c>
      <c r="B9" s="42"/>
    </row>
    <row r="10" spans="1:21" ht="15" thickBot="1">
      <c r="A10" s="42" t="s">
        <v>81</v>
      </c>
      <c r="B10" s="37" t="s">
        <v>431</v>
      </c>
    </row>
    <row r="11" spans="1:21" ht="15" thickBot="1">
      <c r="A11" s="42" t="s">
        <v>94</v>
      </c>
      <c r="B11" s="37" t="s">
        <v>432</v>
      </c>
    </row>
    <row r="12" spans="1:21" ht="15" thickBot="1">
      <c r="A12" s="42" t="s">
        <v>83</v>
      </c>
      <c r="B12" s="37" t="s">
        <v>433</v>
      </c>
    </row>
  </sheetData>
  <mergeCells count="1">
    <mergeCell ref="A1:G1"/>
  </mergeCells>
  <pageMargins left="0.7" right="0.7" top="0.78740157499999996" bottom="0.78740157499999996" header="0.3" footer="0.3"/>
  <pageSetup paperSize="9" orientation="portrait" horizontalDpi="4294967294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5011c9f-52ff-488b-9254-027e8cc384b8" xsi:nil="true"/>
    <lcf76f155ced4ddcb4097134ff3c332f xmlns="aa9dc57f-4e95-4a26-a0fe-c89c07b96c7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2E308A5E041541845B4A65E75022CF" ma:contentTypeVersion="16" ma:contentTypeDescription="Create a new document." ma:contentTypeScope="" ma:versionID="e3226efee4495b911ea29adf6a153980">
  <xsd:schema xmlns:xsd="http://www.w3.org/2001/XMLSchema" xmlns:xs="http://www.w3.org/2001/XMLSchema" xmlns:p="http://schemas.microsoft.com/office/2006/metadata/properties" xmlns:ns2="aa9dc57f-4e95-4a26-a0fe-c89c07b96c77" xmlns:ns3="b5011c9f-52ff-488b-9254-027e8cc384b8" targetNamespace="http://schemas.microsoft.com/office/2006/metadata/properties" ma:root="true" ma:fieldsID="f54d81352a9721d704cebdf42ed80cab" ns2:_="" ns3:_="">
    <xsd:import namespace="aa9dc57f-4e95-4a26-a0fe-c89c07b96c77"/>
    <xsd:import namespace="b5011c9f-52ff-488b-9254-027e8cc384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9dc57f-4e95-4a26-a0fe-c89c07b96c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dc8654f-099b-4fbc-bac7-8913d318b5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11c9f-52ff-488b-9254-027e8cc384b8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48a668c-5ae6-4c7f-8497-3b8b91067440}" ma:internalName="TaxCatchAll" ma:showField="CatchAllData" ma:web="b5011c9f-52ff-488b-9254-027e8cc384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79DC02-0DF5-4D02-AA3D-1B3DDDA7BA14}">
  <ds:schemaRefs>
    <ds:schemaRef ds:uri="http://schemas.microsoft.com/office/2006/metadata/properties"/>
    <ds:schemaRef ds:uri="http://schemas.microsoft.com/office/infopath/2007/PartnerControls"/>
    <ds:schemaRef ds:uri="f8c19b70-4f9d-4bc3-b95a-c64b4aff9949"/>
    <ds:schemaRef ds:uri="e33da958-c910-45fd-8f20-c94241588bf3"/>
  </ds:schemaRefs>
</ds:datastoreItem>
</file>

<file path=customXml/itemProps2.xml><?xml version="1.0" encoding="utf-8"?>
<ds:datastoreItem xmlns:ds="http://schemas.openxmlformats.org/officeDocument/2006/customXml" ds:itemID="{5F3B046A-158E-4399-9379-18BCFCB8E6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DC017B-D1A8-4FD5-9BCD-64B0EFC240D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Explanation</vt:lpstr>
      <vt:lpstr>Changelog</vt:lpstr>
      <vt:lpstr>Zone definition</vt:lpstr>
      <vt:lpstr>Threats_SL</vt:lpstr>
      <vt:lpstr>SL-T</vt:lpstr>
      <vt:lpstr>Measures_62443-3-3</vt:lpstr>
      <vt:lpstr>Measures_62443-2-1</vt:lpstr>
      <vt:lpstr>Risk_evaluation</vt:lpstr>
      <vt:lpstr>Impact</vt:lpstr>
      <vt:lpstr>Likelihood</vt:lpstr>
      <vt:lpstr>Risk</vt:lpstr>
      <vt:lpstr>SL</vt:lpstr>
      <vt:lpstr>Template_Changelog</vt:lpstr>
      <vt:lpstr>_Measures_Heatmap</vt:lpstr>
      <vt:lpstr>_3_3_OVERVIEW_PRE</vt:lpstr>
      <vt:lpstr>_3_3_OVERVIEW_MITIGATING</vt:lpstr>
      <vt:lpstr>_2_1_OVERVIEW</vt:lpstr>
      <vt:lpstr>_DATA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ERORAT - Risk Assessment</dc:title>
  <dc:subject/>
  <dc:creator>Max Schubert;richard.poschinger@incyde.com</dc:creator>
  <cp:keywords/>
  <dc:description/>
  <cp:lastModifiedBy>Richard Poschinger</cp:lastModifiedBy>
  <cp:revision/>
  <dcterms:created xsi:type="dcterms:W3CDTF">2020-07-22T18:19:27Z</dcterms:created>
  <dcterms:modified xsi:type="dcterms:W3CDTF">2025-03-05T16:19:33Z</dcterms:modified>
  <cp:category>Risk Assessment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0x0101007E2E308A5E041541845B4A65E75022CF</vt:lpwstr>
  </property>
  <property fmtid="{D5CDD505-2E9C-101B-9397-08002B2CF9AE}" pid="4" name="MSIP_Label_c8d3f7c8-5c4b-4ab6-9486-a0a9eb08efa7_Enabled">
    <vt:lpwstr>true</vt:lpwstr>
  </property>
  <property fmtid="{D5CDD505-2E9C-101B-9397-08002B2CF9AE}" pid="5" name="MSIP_Label_c8d3f7c8-5c4b-4ab6-9486-a0a9eb08efa7_SetDate">
    <vt:lpwstr>2023-06-07T13:07:05Z</vt:lpwstr>
  </property>
  <property fmtid="{D5CDD505-2E9C-101B-9397-08002B2CF9AE}" pid="6" name="MSIP_Label_c8d3f7c8-5c4b-4ab6-9486-a0a9eb08efa7_Method">
    <vt:lpwstr>Standard</vt:lpwstr>
  </property>
  <property fmtid="{D5CDD505-2E9C-101B-9397-08002B2CF9AE}" pid="7" name="MSIP_Label_c8d3f7c8-5c4b-4ab6-9486-a0a9eb08efa7_Name">
    <vt:lpwstr>Interne - Groupe</vt:lpwstr>
  </property>
  <property fmtid="{D5CDD505-2E9C-101B-9397-08002B2CF9AE}" pid="8" name="MSIP_Label_c8d3f7c8-5c4b-4ab6-9486-a0a9eb08efa7_SiteId">
    <vt:lpwstr>4a7c8238-5799-4b16-9fc6-9ad8fce5a7d9</vt:lpwstr>
  </property>
  <property fmtid="{D5CDD505-2E9C-101B-9397-08002B2CF9AE}" pid="9" name="MSIP_Label_c8d3f7c8-5c4b-4ab6-9486-a0a9eb08efa7_ActionId">
    <vt:lpwstr>0c4a03d6-0943-49d0-aadf-ba74b2b1261c</vt:lpwstr>
  </property>
  <property fmtid="{D5CDD505-2E9C-101B-9397-08002B2CF9AE}" pid="10" name="MSIP_Label_c8d3f7c8-5c4b-4ab6-9486-a0a9eb08efa7_ContentBits">
    <vt:lpwstr>2</vt:lpwstr>
  </property>
</Properties>
</file>